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3482EC-F843-418D-9806-C1FEB010BB60}" xr6:coauthVersionLast="47" xr6:coauthVersionMax="47" xr10:uidLastSave="{00000000-0000-0000-0000-000000000000}"/>
  <bookViews>
    <workbookView xWindow="-120" yWindow="-120" windowWidth="29040" windowHeight="15840" tabRatio="825" firstSheet="1" activeTab="1" xr2:uid="{00000000-000D-0000-FFFF-FFFF00000000}"/>
  </bookViews>
  <sheets>
    <sheet name="проекты" sheetId="16" state="hidden" r:id="rId1"/>
    <sheet name="Заявки 2025" sheetId="36" r:id="rId2"/>
    <sheet name="Карта ЭЭ рус" sheetId="1" r:id="rId3"/>
    <sheet name="Карта ЭЭ QAZ" sheetId="10" r:id="rId4"/>
    <sheet name="Освещение" sheetId="28" state="hidden" r:id="rId5"/>
    <sheet name="Уличное освещ (ЭСКО-ГЧП)" sheetId="32" state="hidden" r:id="rId6"/>
    <sheet name="проверка" sheetId="15" state="hidden" r:id="rId7"/>
    <sheet name="Лист3" sheetId="29" state="hidden" r:id="rId8"/>
  </sheets>
  <definedNames>
    <definedName name="_xlnm._FilterDatabase" localSheetId="3" hidden="1">'Карта ЭЭ QAZ'!$A$2:$N$804</definedName>
    <definedName name="_xlnm._FilterDatabase" localSheetId="2" hidden="1">'Карта ЭЭ рус'!$A$5:$N$807</definedName>
    <definedName name="_xlnm.Print_Area" localSheetId="3">'Карта ЭЭ QAZ'!$A$1:$N$805</definedName>
    <definedName name="_xlnm.Print_Area" localSheetId="2">'Карта ЭЭ рус'!$A$1:$P$807</definedName>
    <definedName name="_xlnm.Print_Area" localSheetId="6">проверка!$A$1:$I$30</definedName>
    <definedName name="_xlnm.Print_Area" localSheetId="0">проекты!$A$1:$J$18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7" i="1" l="1"/>
  <c r="F700" i="1"/>
  <c r="F806" i="1" s="1"/>
  <c r="F702" i="1"/>
  <c r="F704" i="1"/>
  <c r="F706" i="1"/>
  <c r="F708" i="1"/>
  <c r="F710" i="1"/>
  <c r="F713" i="1"/>
  <c r="F716" i="1"/>
  <c r="F719" i="1"/>
  <c r="F724" i="1"/>
  <c r="F729" i="1"/>
  <c r="F731" i="1"/>
  <c r="F733" i="1"/>
  <c r="F735" i="1"/>
  <c r="F737" i="1"/>
  <c r="F739" i="1"/>
  <c r="F741" i="1"/>
  <c r="F743" i="1"/>
  <c r="F745" i="1"/>
  <c r="F747" i="1"/>
  <c r="F749" i="1"/>
  <c r="F760" i="1"/>
  <c r="F771" i="1"/>
  <c r="F775" i="1"/>
  <c r="F777" i="1"/>
  <c r="F779" i="1"/>
  <c r="F781" i="1"/>
  <c r="F783" i="1"/>
  <c r="F785" i="1"/>
  <c r="F787" i="1"/>
  <c r="F789" i="1"/>
  <c r="F791" i="1"/>
  <c r="F793" i="1"/>
  <c r="F795" i="1"/>
  <c r="F797" i="1"/>
  <c r="F799" i="1"/>
  <c r="F801" i="1"/>
  <c r="F803" i="1"/>
  <c r="F805" i="1"/>
  <c r="F694" i="1"/>
  <c r="F618" i="1"/>
  <c r="F620" i="1"/>
  <c r="F622" i="1"/>
  <c r="F624" i="1"/>
  <c r="F626" i="1"/>
  <c r="F628" i="1"/>
  <c r="F630" i="1"/>
  <c r="F632" i="1"/>
  <c r="F634" i="1"/>
  <c r="F636" i="1"/>
  <c r="F638" i="1"/>
  <c r="F640" i="1"/>
  <c r="F642" i="1"/>
  <c r="F644" i="1"/>
  <c r="F647" i="1"/>
  <c r="F651" i="1"/>
  <c r="F654" i="1"/>
  <c r="F656" i="1"/>
  <c r="F659" i="1"/>
  <c r="F663" i="1"/>
  <c r="F666" i="1"/>
  <c r="F672" i="1"/>
  <c r="F674" i="1"/>
  <c r="F676" i="1"/>
  <c r="F678" i="1"/>
  <c r="F680" i="1"/>
  <c r="F683" i="1"/>
  <c r="F686" i="1"/>
  <c r="F689" i="1"/>
  <c r="F691" i="1"/>
  <c r="F693" i="1"/>
  <c r="H77" i="36"/>
  <c r="J803" i="10" l="1"/>
  <c r="J801" i="10"/>
  <c r="F801" i="10"/>
  <c r="J797" i="10"/>
  <c r="F797" i="10"/>
  <c r="J795" i="10"/>
  <c r="F795" i="10"/>
  <c r="J793" i="10"/>
  <c r="F793" i="10"/>
  <c r="J791" i="10"/>
  <c r="F791" i="10"/>
  <c r="J787" i="10"/>
  <c r="F787" i="10"/>
  <c r="K803" i="1"/>
  <c r="G803" i="1"/>
  <c r="K801" i="1"/>
  <c r="G801" i="1"/>
  <c r="K797" i="1"/>
  <c r="G797" i="1"/>
  <c r="K795" i="1"/>
  <c r="K793" i="1"/>
  <c r="G795" i="1"/>
  <c r="G793" i="1"/>
  <c r="G799" i="1"/>
  <c r="K799" i="1"/>
  <c r="K789" i="1"/>
  <c r="G789" i="1"/>
  <c r="K785" i="1"/>
  <c r="G785" i="1"/>
  <c r="J783" i="10" l="1"/>
  <c r="F783" i="10"/>
  <c r="F691" i="10" l="1"/>
  <c r="F689" i="10"/>
  <c r="F687" i="10"/>
  <c r="F684" i="10"/>
  <c r="F681" i="10"/>
  <c r="F678" i="10"/>
  <c r="F676" i="10"/>
  <c r="F674" i="10"/>
  <c r="F672" i="10"/>
  <c r="F670" i="10"/>
  <c r="F664" i="10"/>
  <c r="F661" i="10"/>
  <c r="F657" i="10"/>
  <c r="F654" i="10"/>
  <c r="F652" i="10"/>
  <c r="F649" i="10"/>
  <c r="F645" i="10"/>
  <c r="F642" i="10"/>
  <c r="F640" i="10"/>
  <c r="F803" i="10"/>
  <c r="F799" i="10"/>
  <c r="F789" i="10"/>
  <c r="F785" i="10"/>
  <c r="F781" i="10"/>
  <c r="F779" i="10"/>
  <c r="F777" i="10"/>
  <c r="F775" i="10"/>
  <c r="F773" i="10"/>
  <c r="F769" i="10"/>
  <c r="F758" i="10"/>
  <c r="F747" i="10"/>
  <c r="F745" i="10"/>
  <c r="F743" i="10"/>
  <c r="F741" i="10"/>
  <c r="F739" i="10"/>
  <c r="F737" i="10"/>
  <c r="F735" i="10"/>
  <c r="F733" i="10"/>
  <c r="F731" i="10"/>
  <c r="F729" i="10"/>
  <c r="F727" i="10"/>
  <c r="F722" i="10"/>
  <c r="F717" i="10"/>
  <c r="F714" i="10"/>
  <c r="F711" i="10"/>
  <c r="F708" i="10"/>
  <c r="F706" i="10"/>
  <c r="F704" i="10"/>
  <c r="F702" i="10"/>
  <c r="F700" i="10"/>
  <c r="F698" i="10"/>
  <c r="F695" i="10"/>
  <c r="F804" i="10" l="1"/>
  <c r="F638" i="10"/>
  <c r="F636" i="10"/>
  <c r="F634" i="10"/>
  <c r="F632" i="10"/>
  <c r="F630" i="10"/>
  <c r="F628" i="10"/>
  <c r="F622" i="10"/>
  <c r="F620" i="10"/>
  <c r="F618" i="10"/>
  <c r="F616" i="10"/>
  <c r="J799" i="10"/>
  <c r="J789" i="10"/>
  <c r="J785" i="10"/>
  <c r="J781" i="10"/>
  <c r="J779" i="10"/>
  <c r="J777" i="10"/>
  <c r="J775" i="10"/>
  <c r="J773" i="10"/>
  <c r="J769" i="10"/>
  <c r="J758" i="10"/>
  <c r="J747" i="10"/>
  <c r="J745" i="10"/>
  <c r="J743" i="10"/>
  <c r="J741" i="10"/>
  <c r="J739" i="10"/>
  <c r="J737" i="10"/>
  <c r="J735" i="10"/>
  <c r="J733" i="10"/>
  <c r="J731" i="10"/>
  <c r="J729" i="10"/>
  <c r="J727" i="10"/>
  <c r="J722" i="10"/>
  <c r="J717" i="10"/>
  <c r="J714" i="10"/>
  <c r="J711" i="10"/>
  <c r="J708" i="10"/>
  <c r="J706" i="10"/>
  <c r="J704" i="10"/>
  <c r="J702" i="10"/>
  <c r="J700" i="10"/>
  <c r="J698" i="10"/>
  <c r="J695" i="10"/>
  <c r="J691" i="10"/>
  <c r="J689" i="10"/>
  <c r="J687" i="10"/>
  <c r="J684" i="10"/>
  <c r="J681" i="10"/>
  <c r="J678" i="10"/>
  <c r="J676" i="10"/>
  <c r="J674" i="10"/>
  <c r="J672" i="10"/>
  <c r="J670" i="10"/>
  <c r="J664" i="10"/>
  <c r="J661" i="10"/>
  <c r="J657" i="10"/>
  <c r="J654" i="10"/>
  <c r="J652" i="10"/>
  <c r="J649" i="10"/>
  <c r="J645" i="10"/>
  <c r="J642" i="10"/>
  <c r="J640" i="10"/>
  <c r="J638" i="10"/>
  <c r="J636" i="10"/>
  <c r="J634" i="10"/>
  <c r="J632" i="10"/>
  <c r="J630" i="10"/>
  <c r="J628" i="10"/>
  <c r="J626" i="10"/>
  <c r="J624" i="10"/>
  <c r="J622" i="10"/>
  <c r="J620" i="10"/>
  <c r="J618" i="10"/>
  <c r="J616" i="10"/>
  <c r="J613" i="10"/>
  <c r="J611" i="10"/>
  <c r="J609" i="10"/>
  <c r="J607" i="10"/>
  <c r="J605" i="10"/>
  <c r="J603" i="10"/>
  <c r="J601" i="10"/>
  <c r="J599" i="10"/>
  <c r="J597" i="10"/>
  <c r="J595" i="10"/>
  <c r="J591" i="10"/>
  <c r="J589" i="10"/>
  <c r="J587" i="10"/>
  <c r="J579" i="10"/>
  <c r="J577" i="10"/>
  <c r="J573" i="10"/>
  <c r="J570" i="10"/>
  <c r="J568" i="10"/>
  <c r="J566" i="10"/>
  <c r="J564" i="10"/>
  <c r="J562" i="10"/>
  <c r="J559" i="10"/>
  <c r="J556" i="10"/>
  <c r="J551" i="10"/>
  <c r="J549" i="10"/>
  <c r="J547" i="10"/>
  <c r="J544" i="10"/>
  <c r="J540" i="10"/>
  <c r="J538" i="10"/>
  <c r="J536" i="10"/>
  <c r="F624" i="10"/>
  <c r="F626" i="10"/>
  <c r="F613" i="10"/>
  <c r="F611" i="10"/>
  <c r="F609" i="10"/>
  <c r="F607" i="10"/>
  <c r="F605" i="10"/>
  <c r="F603" i="10"/>
  <c r="F601" i="10"/>
  <c r="F599" i="10"/>
  <c r="F597" i="10"/>
  <c r="F595" i="10"/>
  <c r="F591" i="10"/>
  <c r="F589" i="10"/>
  <c r="F587" i="10"/>
  <c r="F579" i="10"/>
  <c r="F577" i="10"/>
  <c r="F573" i="10"/>
  <c r="F570" i="10"/>
  <c r="F568" i="10"/>
  <c r="F566" i="10"/>
  <c r="F564" i="10"/>
  <c r="F562" i="10"/>
  <c r="F559" i="10"/>
  <c r="F556" i="10"/>
  <c r="F551" i="10"/>
  <c r="F549" i="10"/>
  <c r="F547" i="10"/>
  <c r="F544" i="10"/>
  <c r="F540" i="10"/>
  <c r="F538" i="10"/>
  <c r="F536" i="10"/>
  <c r="J804" i="10" l="1"/>
  <c r="F692" i="10"/>
  <c r="J692" i="10"/>
  <c r="J614" i="10"/>
  <c r="F614" i="10"/>
  <c r="K805" i="1"/>
  <c r="G805" i="1"/>
  <c r="G760" i="1"/>
  <c r="G771" i="1"/>
  <c r="G775" i="1"/>
  <c r="K775" i="1"/>
  <c r="K771" i="1"/>
  <c r="K760" i="1"/>
  <c r="E42" i="36"/>
  <c r="E41" i="36"/>
  <c r="E40" i="36"/>
  <c r="E39" i="36"/>
  <c r="E77" i="36" s="1"/>
  <c r="K787" i="1"/>
  <c r="K791" i="1"/>
  <c r="G791" i="1"/>
  <c r="G787" i="1"/>
  <c r="K741" i="1"/>
  <c r="K739" i="1"/>
  <c r="K737" i="1"/>
  <c r="G741" i="1"/>
  <c r="G739" i="1"/>
  <c r="G737" i="1"/>
  <c r="K729" i="1"/>
  <c r="G729" i="1"/>
  <c r="K724" i="1"/>
  <c r="G724" i="1"/>
  <c r="K719" i="1"/>
  <c r="G719" i="1"/>
  <c r="G716" i="1" l="1"/>
  <c r="K713" i="1"/>
  <c r="K716" i="1"/>
  <c r="K702" i="1"/>
  <c r="G702" i="1"/>
  <c r="K783" i="1"/>
  <c r="G783" i="1"/>
  <c r="K781" i="1"/>
  <c r="G781" i="1"/>
  <c r="K779" i="1"/>
  <c r="G779" i="1"/>
  <c r="K777" i="1"/>
  <c r="G777" i="1"/>
  <c r="K749" i="1"/>
  <c r="G749" i="1"/>
  <c r="K747" i="1"/>
  <c r="G747" i="1"/>
  <c r="K745" i="1"/>
  <c r="G745" i="1"/>
  <c r="K743" i="1"/>
  <c r="G743" i="1"/>
  <c r="K735" i="1"/>
  <c r="G735" i="1"/>
  <c r="K733" i="1"/>
  <c r="G733" i="1"/>
  <c r="K731" i="1"/>
  <c r="G731" i="1"/>
  <c r="G713" i="1"/>
  <c r="K710" i="1"/>
  <c r="G710" i="1"/>
  <c r="K708" i="1"/>
  <c r="G708" i="1"/>
  <c r="K697" i="1"/>
  <c r="K806" i="1" s="1"/>
  <c r="G697" i="1"/>
  <c r="G806" i="1" s="1"/>
  <c r="K706" i="1"/>
  <c r="G706" i="1"/>
  <c r="K704" i="1"/>
  <c r="G704" i="1"/>
  <c r="K700" i="1"/>
  <c r="G700" i="1"/>
  <c r="K693" i="1" l="1"/>
  <c r="G693" i="1"/>
  <c r="G672" i="1"/>
  <c r="G683" i="1"/>
  <c r="G689" i="1"/>
  <c r="K683" i="1"/>
  <c r="K654" i="1"/>
  <c r="G654" i="1"/>
  <c r="K651" i="1"/>
  <c r="G651" i="1"/>
  <c r="K647" i="1"/>
  <c r="G647" i="1"/>
  <c r="K644" i="1"/>
  <c r="G644" i="1"/>
  <c r="K689" i="1"/>
  <c r="K659" i="1"/>
  <c r="K663" i="1"/>
  <c r="K666" i="1"/>
  <c r="K672" i="1"/>
  <c r="K686" i="1"/>
  <c r="G659" i="1"/>
  <c r="G663" i="1"/>
  <c r="G666" i="1"/>
  <c r="G686" i="1"/>
  <c r="K691" i="1"/>
  <c r="G691" i="1"/>
  <c r="K680" i="1"/>
  <c r="G680" i="1"/>
  <c r="K678" i="1"/>
  <c r="G678" i="1"/>
  <c r="K676" i="1"/>
  <c r="G676" i="1"/>
  <c r="K674" i="1"/>
  <c r="G674" i="1"/>
  <c r="K656" i="1"/>
  <c r="G656" i="1"/>
  <c r="K642" i="1" l="1"/>
  <c r="G642" i="1"/>
  <c r="K640" i="1"/>
  <c r="G640" i="1"/>
  <c r="K638" i="1" l="1"/>
  <c r="G638" i="1"/>
  <c r="K636" i="1"/>
  <c r="G636" i="1"/>
  <c r="K634" i="1"/>
  <c r="G634" i="1"/>
  <c r="K632" i="1"/>
  <c r="G632" i="1"/>
  <c r="K630" i="1"/>
  <c r="G630" i="1"/>
  <c r="K628" i="1"/>
  <c r="G628" i="1"/>
  <c r="K626" i="1"/>
  <c r="G626" i="1"/>
  <c r="K624" i="1"/>
  <c r="G624" i="1"/>
  <c r="K622" i="1"/>
  <c r="G622" i="1"/>
  <c r="K620" i="1"/>
  <c r="G620" i="1"/>
  <c r="K618" i="1"/>
  <c r="G618" i="1"/>
  <c r="F615" i="1"/>
  <c r="F613" i="1"/>
  <c r="F611" i="1"/>
  <c r="F609" i="1"/>
  <c r="F607" i="1"/>
  <c r="F605" i="1"/>
  <c r="F603" i="1"/>
  <c r="F601" i="1"/>
  <c r="F599" i="1"/>
  <c r="F597" i="1"/>
  <c r="F593" i="1"/>
  <c r="F591" i="1"/>
  <c r="F589" i="1"/>
  <c r="F581" i="1"/>
  <c r="F579" i="1"/>
  <c r="F575" i="1"/>
  <c r="F572" i="1"/>
  <c r="F570" i="1"/>
  <c r="F568" i="1"/>
  <c r="F566" i="1"/>
  <c r="F564" i="1"/>
  <c r="F561" i="1"/>
  <c r="F558" i="1"/>
  <c r="F553" i="1"/>
  <c r="F551" i="1"/>
  <c r="F549" i="1"/>
  <c r="F546" i="1"/>
  <c r="F542" i="1"/>
  <c r="F540" i="1"/>
  <c r="F538" i="1"/>
  <c r="F533" i="1"/>
  <c r="F531" i="1"/>
  <c r="F529" i="1"/>
  <c r="F527" i="1"/>
  <c r="F525" i="1"/>
  <c r="F522" i="1"/>
  <c r="F520" i="1"/>
  <c r="F517" i="1"/>
  <c r="F515" i="1"/>
  <c r="F513" i="1"/>
  <c r="F510" i="1"/>
  <c r="F507" i="1"/>
  <c r="F505" i="1"/>
  <c r="F503" i="1"/>
  <c r="F501" i="1"/>
  <c r="F499" i="1"/>
  <c r="F497" i="1"/>
  <c r="F493" i="1"/>
  <c r="F492" i="1"/>
  <c r="F491" i="1"/>
  <c r="F490" i="1"/>
  <c r="F478" i="1"/>
  <c r="F475" i="1"/>
  <c r="F473" i="1"/>
  <c r="F471" i="1"/>
  <c r="F469" i="1"/>
  <c r="F467" i="1"/>
  <c r="F459" i="1"/>
  <c r="F457" i="1"/>
  <c r="F455" i="1"/>
  <c r="F454" i="1"/>
  <c r="F446" i="1"/>
  <c r="F447" i="1" s="1"/>
  <c r="F445" i="1"/>
  <c r="F439" i="1"/>
  <c r="F419" i="1"/>
  <c r="F404" i="1"/>
  <c r="F402" i="1"/>
  <c r="F400" i="1"/>
  <c r="F398" i="1"/>
  <c r="F396" i="1"/>
  <c r="F394" i="1"/>
  <c r="F390" i="1"/>
  <c r="F387" i="1"/>
  <c r="F388" i="1" s="1"/>
  <c r="F384" i="1"/>
  <c r="F385" i="1" s="1"/>
  <c r="F382" i="1"/>
  <c r="F383" i="1" s="1"/>
  <c r="F380" i="1"/>
  <c r="F381" i="1" s="1"/>
  <c r="F378" i="1"/>
  <c r="F379" i="1" s="1"/>
  <c r="F376" i="1"/>
  <c r="F375" i="1"/>
  <c r="F373" i="1"/>
  <c r="F374" i="1" s="1"/>
  <c r="F371" i="1"/>
  <c r="F372" i="1" s="1"/>
  <c r="F368" i="1"/>
  <c r="F367" i="1"/>
  <c r="F366" i="1"/>
  <c r="F364" i="1"/>
  <c r="F365" i="1" s="1"/>
  <c r="F362" i="1"/>
  <c r="F363" i="1" s="1"/>
  <c r="F360" i="1"/>
  <c r="F361" i="1" s="1"/>
  <c r="F358" i="1"/>
  <c r="F359" i="1" s="1"/>
  <c r="F357" i="1"/>
  <c r="F354" i="1"/>
  <c r="F355" i="1" s="1"/>
  <c r="F353" i="1"/>
  <c r="F351" i="1"/>
  <c r="F349" i="1"/>
  <c r="F347" i="1"/>
  <c r="F345" i="1"/>
  <c r="F343" i="1"/>
  <c r="F341" i="1"/>
  <c r="F338" i="1"/>
  <c r="F339" i="1" s="1"/>
  <c r="F336" i="1"/>
  <c r="F337" i="1" s="1"/>
  <c r="F334" i="1"/>
  <c r="F333" i="1"/>
  <c r="F331" i="1"/>
  <c r="F330" i="1"/>
  <c r="F329" i="1"/>
  <c r="F327" i="1"/>
  <c r="F325" i="1"/>
  <c r="F323" i="1"/>
  <c r="F321" i="1"/>
  <c r="F318" i="1"/>
  <c r="F319" i="1" s="1"/>
  <c r="F316" i="1"/>
  <c r="F317" i="1" s="1"/>
  <c r="F314" i="1"/>
  <c r="F264" i="1"/>
  <c r="F265" i="1" s="1"/>
  <c r="F249" i="1"/>
  <c r="F237" i="1"/>
  <c r="F215" i="1"/>
  <c r="F213" i="1"/>
  <c r="F210" i="1"/>
  <c r="F202" i="1"/>
  <c r="F200" i="1"/>
  <c r="F196" i="1"/>
  <c r="F193" i="1"/>
  <c r="F191" i="1"/>
  <c r="F180" i="1"/>
  <c r="F173" i="1"/>
  <c r="F169" i="1"/>
  <c r="F166" i="1"/>
  <c r="F164" i="1"/>
  <c r="F160" i="1"/>
  <c r="F158" i="1"/>
  <c r="F156" i="1"/>
  <c r="F154" i="1"/>
  <c r="F150" i="1"/>
  <c r="F140" i="1"/>
  <c r="F135" i="1"/>
  <c r="F130" i="1"/>
  <c r="F128" i="1"/>
  <c r="F123" i="1"/>
  <c r="F120" i="1"/>
  <c r="F115" i="1"/>
  <c r="F111" i="1"/>
  <c r="F105" i="1"/>
  <c r="F100" i="1"/>
  <c r="F98" i="1"/>
  <c r="F96" i="1"/>
  <c r="F93" i="1"/>
  <c r="F90" i="1"/>
  <c r="F87" i="1"/>
  <c r="F85" i="1"/>
  <c r="F83" i="1"/>
  <c r="F81" i="1"/>
  <c r="F78" i="1"/>
  <c r="F75" i="1"/>
  <c r="F70" i="1"/>
  <c r="F65" i="1"/>
  <c r="F63" i="1"/>
  <c r="F61" i="1"/>
  <c r="F59" i="1"/>
  <c r="F57" i="1"/>
  <c r="F55" i="1"/>
  <c r="F53" i="1"/>
  <c r="F51" i="1"/>
  <c r="F48" i="1"/>
  <c r="F46" i="1"/>
  <c r="F44" i="1"/>
  <c r="F42" i="1"/>
  <c r="F40" i="1"/>
  <c r="F38" i="1"/>
  <c r="F35" i="1"/>
  <c r="F33" i="1"/>
  <c r="F31" i="1"/>
  <c r="F27" i="1"/>
  <c r="F25" i="1"/>
  <c r="F23" i="1"/>
  <c r="F19" i="1"/>
  <c r="F15" i="1"/>
  <c r="F7" i="1"/>
  <c r="G694" i="1" l="1"/>
  <c r="K694" i="1"/>
  <c r="F377" i="1"/>
  <c r="F49" i="1"/>
  <c r="F335" i="1"/>
  <c r="F211" i="1"/>
  <c r="F370" i="1"/>
  <c r="F616" i="1"/>
  <c r="F315" i="1"/>
  <c r="F332" i="1"/>
  <c r="F116" i="1"/>
  <c r="F462" i="1"/>
  <c r="F494" i="1"/>
  <c r="F534" i="1" s="1"/>
  <c r="K589" i="1"/>
  <c r="K579" i="1"/>
  <c r="K575" i="1"/>
  <c r="K564" i="1"/>
  <c r="F386" i="1" l="1"/>
  <c r="K566" i="1"/>
  <c r="K568" i="1"/>
  <c r="K570" i="1"/>
  <c r="K572" i="1"/>
  <c r="K581" i="1"/>
  <c r="K591" i="1"/>
  <c r="K593" i="1"/>
  <c r="K597" i="1"/>
  <c r="K599" i="1"/>
  <c r="G599" i="1"/>
  <c r="G597" i="1"/>
  <c r="K615" i="1"/>
  <c r="G615" i="1"/>
  <c r="K613" i="1"/>
  <c r="G613" i="1"/>
  <c r="K611" i="1"/>
  <c r="G611" i="1"/>
  <c r="K609" i="1"/>
  <c r="G609" i="1"/>
  <c r="K607" i="1"/>
  <c r="G607" i="1"/>
  <c r="K605" i="1"/>
  <c r="G605" i="1"/>
  <c r="K603" i="1"/>
  <c r="G603" i="1"/>
  <c r="K601" i="1"/>
  <c r="G601" i="1"/>
  <c r="G593" i="1"/>
  <c r="G591" i="1"/>
  <c r="G589" i="1"/>
  <c r="G581" i="1"/>
  <c r="G579" i="1"/>
  <c r="G575" i="1"/>
  <c r="G572" i="1"/>
  <c r="G570" i="1"/>
  <c r="G568" i="1"/>
  <c r="G566" i="1"/>
  <c r="G564" i="1"/>
  <c r="K561" i="1"/>
  <c r="G561" i="1"/>
  <c r="K558" i="1"/>
  <c r="G558" i="1"/>
  <c r="K553" i="1"/>
  <c r="G553" i="1"/>
  <c r="K551" i="1"/>
  <c r="G551" i="1"/>
  <c r="K549" i="1"/>
  <c r="G549" i="1"/>
  <c r="K546" i="1"/>
  <c r="G546" i="1"/>
  <c r="K542" i="1"/>
  <c r="G542" i="1"/>
  <c r="K540" i="1"/>
  <c r="G540" i="1"/>
  <c r="K538" i="1"/>
  <c r="G538" i="1"/>
  <c r="K616" i="1" l="1"/>
  <c r="G616" i="1"/>
  <c r="F531" i="10" l="1"/>
  <c r="F529" i="10"/>
  <c r="F527" i="10"/>
  <c r="F525" i="10"/>
  <c r="F523" i="10"/>
  <c r="F520" i="10"/>
  <c r="F518" i="10"/>
  <c r="F515" i="10"/>
  <c r="F513" i="10"/>
  <c r="F511" i="10"/>
  <c r="F508" i="10"/>
  <c r="F505" i="10"/>
  <c r="F503" i="10"/>
  <c r="F501" i="10"/>
  <c r="F499" i="10"/>
  <c r="F497" i="10"/>
  <c r="F495" i="10"/>
  <c r="F491" i="10"/>
  <c r="F490" i="10"/>
  <c r="F489" i="10"/>
  <c r="F488" i="10"/>
  <c r="F476" i="10"/>
  <c r="F473" i="10"/>
  <c r="F471" i="10"/>
  <c r="F469" i="10"/>
  <c r="F467" i="10"/>
  <c r="F465" i="10"/>
  <c r="F457" i="10"/>
  <c r="F455" i="10"/>
  <c r="F453" i="10"/>
  <c r="F452" i="10"/>
  <c r="F444" i="10"/>
  <c r="F445" i="10" s="1"/>
  <c r="F443" i="10"/>
  <c r="F437" i="10"/>
  <c r="F417" i="10"/>
  <c r="F402" i="10"/>
  <c r="F400" i="10"/>
  <c r="F398" i="10"/>
  <c r="F396" i="10"/>
  <c r="F394" i="10"/>
  <c r="F392" i="10"/>
  <c r="F388" i="10"/>
  <c r="F385" i="10"/>
  <c r="F386" i="10" s="1"/>
  <c r="F382" i="10"/>
  <c r="F383" i="10" s="1"/>
  <c r="F380" i="10"/>
  <c r="F381" i="10" s="1"/>
  <c r="F378" i="10"/>
  <c r="F379" i="10" s="1"/>
  <c r="F376" i="10"/>
  <c r="F377" i="10" s="1"/>
  <c r="F374" i="10"/>
  <c r="F373" i="10"/>
  <c r="F371" i="10"/>
  <c r="F372" i="10" s="1"/>
  <c r="F369" i="10"/>
  <c r="F370" i="10" s="1"/>
  <c r="F366" i="10"/>
  <c r="F365" i="10"/>
  <c r="F364" i="10"/>
  <c r="F362" i="10"/>
  <c r="F363" i="10" s="1"/>
  <c r="F360" i="10"/>
  <c r="F361" i="10" s="1"/>
  <c r="F358" i="10"/>
  <c r="F359" i="10" s="1"/>
  <c r="F356" i="10"/>
  <c r="F357" i="10" s="1"/>
  <c r="F355" i="10"/>
  <c r="F352" i="10"/>
  <c r="F353" i="10" s="1"/>
  <c r="F351" i="10"/>
  <c r="F349" i="10"/>
  <c r="F347" i="10"/>
  <c r="F345" i="10"/>
  <c r="F343" i="10"/>
  <c r="F341" i="10"/>
  <c r="F339" i="10"/>
  <c r="F336" i="10"/>
  <c r="F337" i="10" s="1"/>
  <c r="F334" i="10"/>
  <c r="F335" i="10" s="1"/>
  <c r="F332" i="10"/>
  <c r="F331" i="10"/>
  <c r="F329" i="10"/>
  <c r="F328" i="10"/>
  <c r="F327" i="10"/>
  <c r="F325" i="10"/>
  <c r="F323" i="10"/>
  <c r="F321" i="10"/>
  <c r="F319" i="10"/>
  <c r="F316" i="10"/>
  <c r="F317" i="10" s="1"/>
  <c r="F314" i="10"/>
  <c r="F315" i="10" s="1"/>
  <c r="F312" i="10"/>
  <c r="F262" i="10"/>
  <c r="F263" i="10" s="1"/>
  <c r="F247" i="10"/>
  <c r="F235" i="10"/>
  <c r="F213" i="10"/>
  <c r="F211" i="10"/>
  <c r="F208" i="10"/>
  <c r="F200" i="10"/>
  <c r="F198" i="10"/>
  <c r="F194" i="10"/>
  <c r="F191" i="10"/>
  <c r="F189" i="10"/>
  <c r="F178" i="10"/>
  <c r="F171" i="10"/>
  <c r="F167" i="10"/>
  <c r="F164" i="10"/>
  <c r="F162" i="10"/>
  <c r="F158" i="10"/>
  <c r="F156" i="10"/>
  <c r="F154" i="10"/>
  <c r="F152" i="10"/>
  <c r="F148" i="10"/>
  <c r="F138" i="10"/>
  <c r="F133" i="10"/>
  <c r="F128" i="10"/>
  <c r="F126" i="10"/>
  <c r="F121" i="10"/>
  <c r="F118" i="10"/>
  <c r="F113" i="10"/>
  <c r="F109" i="10"/>
  <c r="F103" i="10"/>
  <c r="F98" i="10"/>
  <c r="F96" i="10"/>
  <c r="F94" i="10"/>
  <c r="F91" i="10"/>
  <c r="F88" i="10"/>
  <c r="F85" i="10"/>
  <c r="F83" i="10"/>
  <c r="F81" i="10"/>
  <c r="F79" i="10"/>
  <c r="F76" i="10"/>
  <c r="F73" i="10"/>
  <c r="F68" i="10"/>
  <c r="F63" i="10"/>
  <c r="F61" i="10"/>
  <c r="F59" i="10"/>
  <c r="F57" i="10"/>
  <c r="F55" i="10"/>
  <c r="F53" i="10"/>
  <c r="F51" i="10"/>
  <c r="F49" i="10"/>
  <c r="F46" i="10"/>
  <c r="F44" i="10"/>
  <c r="F42" i="10"/>
  <c r="F40" i="10"/>
  <c r="F38" i="10"/>
  <c r="F36" i="10"/>
  <c r="F33" i="10"/>
  <c r="F31" i="10"/>
  <c r="F29" i="10"/>
  <c r="F25" i="10"/>
  <c r="F23" i="10"/>
  <c r="F21" i="10"/>
  <c r="F17" i="10"/>
  <c r="F13" i="10"/>
  <c r="F5" i="10"/>
  <c r="J531" i="10"/>
  <c r="J529" i="10"/>
  <c r="J527" i="10"/>
  <c r="J525" i="10"/>
  <c r="J523" i="10"/>
  <c r="J520" i="10"/>
  <c r="J518" i="10"/>
  <c r="J515" i="10"/>
  <c r="J513" i="10"/>
  <c r="J511" i="10"/>
  <c r="J508" i="10"/>
  <c r="J505" i="10"/>
  <c r="J503" i="10"/>
  <c r="J501" i="10"/>
  <c r="J499" i="10"/>
  <c r="J497" i="10"/>
  <c r="J495" i="10"/>
  <c r="J491" i="10"/>
  <c r="J490" i="10"/>
  <c r="J489" i="10"/>
  <c r="J488" i="10"/>
  <c r="J476" i="10"/>
  <c r="J471" i="10"/>
  <c r="J469" i="10"/>
  <c r="J465" i="10"/>
  <c r="J459" i="10"/>
  <c r="J457" i="10"/>
  <c r="J455" i="10"/>
  <c r="J453" i="10"/>
  <c r="J451" i="10"/>
  <c r="J448" i="10"/>
  <c r="J449" i="10" s="1"/>
  <c r="J447" i="10"/>
  <c r="J444" i="10"/>
  <c r="J445" i="10" s="1"/>
  <c r="J443" i="10"/>
  <c r="J440" i="10"/>
  <c r="J437" i="10"/>
  <c r="J433" i="10"/>
  <c r="J431" i="10"/>
  <c r="J429" i="10"/>
  <c r="J427" i="10"/>
  <c r="J425" i="10"/>
  <c r="J416" i="10"/>
  <c r="J414" i="10"/>
  <c r="J412" i="10"/>
  <c r="J410" i="10"/>
  <c r="J408" i="10"/>
  <c r="J406" i="10"/>
  <c r="J404" i="10"/>
  <c r="J402" i="10"/>
  <c r="J400" i="10"/>
  <c r="J398" i="10"/>
  <c r="J396" i="10"/>
  <c r="J394" i="10"/>
  <c r="J392" i="10"/>
  <c r="J390" i="10"/>
  <c r="J388" i="10"/>
  <c r="J385" i="10"/>
  <c r="J386" i="10" s="1"/>
  <c r="J382" i="10"/>
  <c r="J383" i="10" s="1"/>
  <c r="J380" i="10"/>
  <c r="J381" i="10" s="1"/>
  <c r="J378" i="10"/>
  <c r="J379" i="10" s="1"/>
  <c r="J376" i="10"/>
  <c r="J377" i="10" s="1"/>
  <c r="J374" i="10"/>
  <c r="J373" i="10"/>
  <c r="J371" i="10"/>
  <c r="J372" i="10" s="1"/>
  <c r="J369" i="10"/>
  <c r="J370" i="10" s="1"/>
  <c r="J367" i="10"/>
  <c r="J366" i="10"/>
  <c r="J365" i="10"/>
  <c r="J364" i="10"/>
  <c r="J362" i="10"/>
  <c r="J363" i="10" s="1"/>
  <c r="J360" i="10"/>
  <c r="J361" i="10" s="1"/>
  <c r="J358" i="10"/>
  <c r="J359" i="10" s="1"/>
  <c r="J356" i="10"/>
  <c r="J357" i="10" s="1"/>
  <c r="J354" i="10"/>
  <c r="J355" i="10" s="1"/>
  <c r="J352" i="10"/>
  <c r="J353" i="10" s="1"/>
  <c r="J351" i="10"/>
  <c r="J349" i="10"/>
  <c r="J347" i="10"/>
  <c r="J345" i="10"/>
  <c r="J343" i="10"/>
  <c r="J341" i="10"/>
  <c r="J339" i="10"/>
  <c r="J337" i="10"/>
  <c r="J334" i="10"/>
  <c r="J335" i="10" s="1"/>
  <c r="J331" i="10"/>
  <c r="J333" i="10" s="1"/>
  <c r="J329" i="10"/>
  <c r="J328" i="10"/>
  <c r="J327" i="10"/>
  <c r="J325" i="10"/>
  <c r="J323" i="10"/>
  <c r="J321" i="10"/>
  <c r="J319" i="10"/>
  <c r="J317" i="10"/>
  <c r="J314" i="10"/>
  <c r="J315" i="10" s="1"/>
  <c r="J312" i="10"/>
  <c r="J313" i="10" s="1"/>
  <c r="J208" i="10"/>
  <c r="J200" i="10"/>
  <c r="J198" i="10"/>
  <c r="J196" i="10"/>
  <c r="J194" i="10"/>
  <c r="J191" i="10"/>
  <c r="J189" i="10"/>
  <c r="J186" i="10"/>
  <c r="J184" i="10"/>
  <c r="J182" i="10"/>
  <c r="J180" i="10"/>
  <c r="J178" i="10"/>
  <c r="J173" i="10"/>
  <c r="J171" i="10"/>
  <c r="J167" i="10"/>
  <c r="J164" i="10"/>
  <c r="J162" i="10"/>
  <c r="J158" i="10"/>
  <c r="J156" i="10"/>
  <c r="J154" i="10"/>
  <c r="J152" i="10"/>
  <c r="J148" i="10"/>
  <c r="J138" i="10"/>
  <c r="J133" i="10"/>
  <c r="J128" i="10"/>
  <c r="J126" i="10"/>
  <c r="J121" i="10"/>
  <c r="J118" i="10"/>
  <c r="J113" i="10"/>
  <c r="J109" i="10"/>
  <c r="J103" i="10"/>
  <c r="J98" i="10"/>
  <c r="J96" i="10"/>
  <c r="J94" i="10"/>
  <c r="J91" i="10"/>
  <c r="J88" i="10"/>
  <c r="J84" i="10"/>
  <c r="J85" i="10" s="1"/>
  <c r="J83" i="10"/>
  <c r="J81" i="10"/>
  <c r="J79" i="10"/>
  <c r="J76" i="10"/>
  <c r="J73" i="10"/>
  <c r="J68" i="10"/>
  <c r="J63" i="10"/>
  <c r="J61" i="10"/>
  <c r="J59" i="10"/>
  <c r="J57" i="10"/>
  <c r="J55" i="10"/>
  <c r="J53" i="10"/>
  <c r="J51" i="10"/>
  <c r="J49" i="10"/>
  <c r="J46" i="10"/>
  <c r="J44" i="10"/>
  <c r="J42" i="10"/>
  <c r="J40" i="10"/>
  <c r="J38" i="10"/>
  <c r="J36" i="10"/>
  <c r="J33" i="10"/>
  <c r="J31" i="10"/>
  <c r="J29" i="10"/>
  <c r="J25" i="10"/>
  <c r="J23" i="10"/>
  <c r="J21" i="10"/>
  <c r="J17" i="10"/>
  <c r="J12" i="10"/>
  <c r="J11" i="10"/>
  <c r="J5" i="10"/>
  <c r="G366" i="1"/>
  <c r="G367" i="1"/>
  <c r="G380" i="1"/>
  <c r="K380" i="1"/>
  <c r="J330" i="10" l="1"/>
  <c r="J375" i="10"/>
  <c r="J368" i="10"/>
  <c r="F330" i="10"/>
  <c r="J492" i="10"/>
  <c r="J532" i="10" s="1"/>
  <c r="F492" i="10"/>
  <c r="F532" i="10" s="1"/>
  <c r="J13" i="10"/>
  <c r="J47" i="10" s="1"/>
  <c r="F368" i="10"/>
  <c r="F375" i="10"/>
  <c r="F333" i="10"/>
  <c r="F460" i="10"/>
  <c r="F114" i="10"/>
  <c r="J114" i="10"/>
  <c r="J209" i="10"/>
  <c r="F313" i="10"/>
  <c r="J460" i="10"/>
  <c r="F47" i="10"/>
  <c r="F209" i="10"/>
  <c r="K533" i="1"/>
  <c r="G533" i="1"/>
  <c r="K531" i="1"/>
  <c r="G531" i="1"/>
  <c r="K529" i="1"/>
  <c r="G529" i="1"/>
  <c r="K527" i="1"/>
  <c r="G527" i="1"/>
  <c r="K525" i="1"/>
  <c r="G525" i="1"/>
  <c r="F384" i="10" l="1"/>
  <c r="F805" i="10" s="1"/>
  <c r="J384" i="10"/>
  <c r="J805" i="10" s="1"/>
  <c r="G368" i="1"/>
  <c r="K522" i="1"/>
  <c r="G522" i="1"/>
  <c r="K520" i="1"/>
  <c r="G520" i="1"/>
  <c r="K517" i="1" l="1"/>
  <c r="G517" i="1"/>
  <c r="K515" i="1"/>
  <c r="G515" i="1"/>
  <c r="G510" i="1"/>
  <c r="K513" i="1"/>
  <c r="G513" i="1"/>
  <c r="K510" i="1" l="1"/>
  <c r="G475" i="1" l="1"/>
  <c r="K507" i="1" l="1"/>
  <c r="G507" i="1"/>
  <c r="K505" i="1"/>
  <c r="G505" i="1"/>
  <c r="K503" i="1" l="1"/>
  <c r="G503" i="1"/>
  <c r="K501" i="1"/>
  <c r="G501" i="1"/>
  <c r="K499" i="1"/>
  <c r="G499" i="1"/>
  <c r="K497" i="1"/>
  <c r="G497" i="1"/>
  <c r="K493" i="1"/>
  <c r="K492" i="1"/>
  <c r="K491" i="1"/>
  <c r="G493" i="1"/>
  <c r="G492" i="1"/>
  <c r="G491" i="1"/>
  <c r="K490" i="1"/>
  <c r="G490" i="1"/>
  <c r="G351" i="1"/>
  <c r="K478" i="1"/>
  <c r="G478" i="1"/>
  <c r="G494" i="1" l="1"/>
  <c r="K494" i="1"/>
  <c r="G249" i="1"/>
  <c r="G237" i="1"/>
  <c r="G439" i="1"/>
  <c r="G446" i="1"/>
  <c r="G447" i="1" s="1"/>
  <c r="G534" i="1" l="1"/>
  <c r="K534" i="1"/>
  <c r="G354" i="1"/>
  <c r="K316" i="1"/>
  <c r="G316" i="1"/>
  <c r="K354" i="1"/>
  <c r="G338" i="1"/>
  <c r="G419" i="1" l="1"/>
  <c r="G98" i="1" l="1"/>
  <c r="K86" i="1"/>
  <c r="K14" i="1" l="1"/>
  <c r="K13" i="1"/>
  <c r="E21" i="15" l="1"/>
  <c r="D21" i="15"/>
  <c r="K471" i="1" l="1"/>
  <c r="G471" i="1"/>
  <c r="K473" i="1"/>
  <c r="G473" i="1"/>
  <c r="G469" i="1"/>
  <c r="F4" i="29" l="1"/>
  <c r="J4" i="29"/>
  <c r="F8" i="29"/>
  <c r="J8" i="29"/>
  <c r="F10" i="29"/>
  <c r="J10" i="29"/>
  <c r="F12" i="29"/>
  <c r="J12" i="29"/>
  <c r="F16" i="29"/>
  <c r="J16" i="29"/>
  <c r="F18" i="29"/>
  <c r="J18" i="29"/>
  <c r="F20" i="29"/>
  <c r="J20" i="29"/>
  <c r="F22" i="29"/>
  <c r="J22" i="29"/>
  <c r="F24" i="29"/>
  <c r="J24" i="29"/>
  <c r="F26" i="29"/>
  <c r="J26" i="29"/>
  <c r="F28" i="29"/>
  <c r="J28" i="29"/>
  <c r="F31" i="29"/>
  <c r="J31" i="29"/>
  <c r="F33" i="29"/>
  <c r="J33" i="29"/>
  <c r="F35" i="29"/>
  <c r="J35" i="29"/>
  <c r="F37" i="29"/>
  <c r="J37" i="29"/>
  <c r="F39" i="29"/>
  <c r="J39" i="29"/>
  <c r="F41" i="29"/>
  <c r="J41" i="29"/>
  <c r="F43" i="29"/>
  <c r="J43" i="29"/>
  <c r="F48" i="29"/>
  <c r="J48" i="29"/>
  <c r="F51" i="29"/>
  <c r="J51" i="29"/>
  <c r="F54" i="29"/>
  <c r="J54" i="29"/>
  <c r="F56" i="29"/>
  <c r="J56" i="29"/>
  <c r="F59" i="29"/>
  <c r="J59" i="29"/>
  <c r="F62" i="29"/>
  <c r="J62" i="29"/>
  <c r="F64" i="29"/>
  <c r="J64" i="29"/>
  <c r="F66" i="29"/>
  <c r="J66" i="29"/>
  <c r="F71" i="29"/>
  <c r="J71" i="29"/>
  <c r="F77" i="29"/>
  <c r="J77" i="29"/>
  <c r="F81" i="29"/>
  <c r="J81" i="29"/>
  <c r="F86" i="29"/>
  <c r="J86" i="29"/>
  <c r="F89" i="29"/>
  <c r="J89" i="29"/>
  <c r="F94" i="29"/>
  <c r="J94" i="29"/>
  <c r="F96" i="29"/>
  <c r="J96" i="29"/>
  <c r="F101" i="29"/>
  <c r="J101" i="29"/>
  <c r="F106" i="29"/>
  <c r="J106" i="29"/>
  <c r="F116" i="29"/>
  <c r="J116" i="29"/>
  <c r="F120" i="29"/>
  <c r="J120" i="29"/>
  <c r="F122" i="29"/>
  <c r="J122" i="29"/>
  <c r="F124" i="29"/>
  <c r="J124" i="29"/>
  <c r="F126" i="29"/>
  <c r="J126" i="29"/>
  <c r="F130" i="29"/>
  <c r="J130" i="29"/>
  <c r="F132" i="29"/>
  <c r="J132" i="29"/>
  <c r="F135" i="29"/>
  <c r="J135" i="29"/>
  <c r="F139" i="29"/>
  <c r="J139" i="29"/>
  <c r="J141" i="29"/>
  <c r="F146" i="29"/>
  <c r="J146" i="29"/>
  <c r="J148" i="29"/>
  <c r="J150" i="29"/>
  <c r="J152" i="29"/>
  <c r="J154" i="29"/>
  <c r="F157" i="29"/>
  <c r="J157" i="29"/>
  <c r="F159" i="29"/>
  <c r="J159" i="29"/>
  <c r="F162" i="29"/>
  <c r="J162" i="29"/>
  <c r="J164" i="29"/>
  <c r="F166" i="29"/>
  <c r="J166" i="29"/>
  <c r="F168" i="29"/>
  <c r="J168" i="29"/>
  <c r="F176" i="29"/>
  <c r="J176" i="29"/>
  <c r="F179" i="29"/>
  <c r="F181" i="29"/>
  <c r="F220" i="29"/>
  <c r="J220" i="29"/>
  <c r="J221" i="29" s="1"/>
  <c r="F222" i="29"/>
  <c r="F223" i="29" s="1"/>
  <c r="J223" i="29"/>
  <c r="F224" i="29"/>
  <c r="F225" i="29" s="1"/>
  <c r="J225" i="29"/>
  <c r="F227" i="29"/>
  <c r="J227" i="29"/>
  <c r="F229" i="29"/>
  <c r="J229" i="29"/>
  <c r="F231" i="29"/>
  <c r="J231" i="29"/>
  <c r="F232" i="29"/>
  <c r="J232" i="29"/>
  <c r="F233" i="29"/>
  <c r="F234" i="29" s="1"/>
  <c r="J233" i="29"/>
  <c r="F235" i="29"/>
  <c r="J235" i="29"/>
  <c r="J237" i="29" s="1"/>
  <c r="F236" i="29"/>
  <c r="F238" i="29"/>
  <c r="F239" i="29" s="1"/>
  <c r="J238" i="29"/>
  <c r="J239" i="29" s="1"/>
  <c r="F241" i="29"/>
  <c r="J241" i="29"/>
  <c r="F242" i="29"/>
  <c r="F243" i="29" s="1"/>
  <c r="J242" i="29"/>
  <c r="J243" i="29" s="1"/>
  <c r="F244" i="29"/>
  <c r="F245" i="29" s="1"/>
  <c r="J244" i="29"/>
  <c r="J245" i="29" s="1"/>
  <c r="F246" i="29"/>
  <c r="F247" i="29" s="1"/>
  <c r="J246" i="29"/>
  <c r="J247" i="29" s="1"/>
  <c r="F248" i="29"/>
  <c r="F249" i="29" s="1"/>
  <c r="J248" i="29"/>
  <c r="J249" i="29" s="1"/>
  <c r="F250" i="29"/>
  <c r="F251" i="29" s="1"/>
  <c r="J250" i="29"/>
  <c r="J251" i="29" s="1"/>
  <c r="F252" i="29"/>
  <c r="F253" i="29" s="1"/>
  <c r="J252" i="29"/>
  <c r="J253" i="29" s="1"/>
  <c r="F254" i="29"/>
  <c r="F255" i="29" s="1"/>
  <c r="J254" i="29"/>
  <c r="J255" i="29" s="1"/>
  <c r="F256" i="29"/>
  <c r="J256" i="29"/>
  <c r="F257" i="29"/>
  <c r="J257" i="29"/>
  <c r="J258" i="29"/>
  <c r="F259" i="29"/>
  <c r="F260" i="29" s="1"/>
  <c r="J259" i="29"/>
  <c r="J260" i="29" s="1"/>
  <c r="F261" i="29"/>
  <c r="J261" i="29"/>
  <c r="J262" i="29" s="1"/>
  <c r="F262" i="29"/>
  <c r="F263" i="29"/>
  <c r="F264" i="29" s="1"/>
  <c r="J263" i="29"/>
  <c r="J264" i="29"/>
  <c r="F266" i="29"/>
  <c r="F267" i="29" s="1"/>
  <c r="J266" i="29"/>
  <c r="J267" i="29" s="1"/>
  <c r="F269" i="29"/>
  <c r="J269" i="29"/>
  <c r="J271" i="29"/>
  <c r="F273" i="29"/>
  <c r="J273" i="29"/>
  <c r="F275" i="29"/>
  <c r="J275" i="29"/>
  <c r="F277" i="29"/>
  <c r="J277" i="29"/>
  <c r="F279" i="29"/>
  <c r="J279" i="29"/>
  <c r="F281" i="29"/>
  <c r="J281" i="29"/>
  <c r="F283" i="29"/>
  <c r="J283" i="29"/>
  <c r="J285" i="29"/>
  <c r="J287" i="29"/>
  <c r="J289" i="29"/>
  <c r="J291" i="29"/>
  <c r="J293" i="29"/>
  <c r="J295" i="29"/>
  <c r="J297" i="29"/>
  <c r="J301" i="29"/>
  <c r="F302" i="29"/>
  <c r="J302" i="29"/>
  <c r="J303" i="29" s="1"/>
  <c r="F303" i="29"/>
  <c r="J305" i="29"/>
  <c r="J306" i="29"/>
  <c r="J307" i="29" s="1"/>
  <c r="J309" i="29"/>
  <c r="F310" i="29"/>
  <c r="F311" i="29"/>
  <c r="J311" i="29"/>
  <c r="F313" i="29"/>
  <c r="J313" i="29"/>
  <c r="F315" i="29"/>
  <c r="J315" i="29"/>
  <c r="J317" i="29"/>
  <c r="F332" i="29"/>
  <c r="J332" i="29"/>
  <c r="J252" i="28"/>
  <c r="F39" i="28"/>
  <c r="J39" i="28"/>
  <c r="F8" i="28"/>
  <c r="J8" i="28"/>
  <c r="F10" i="28"/>
  <c r="J10" i="28"/>
  <c r="F12" i="28"/>
  <c r="J12" i="28"/>
  <c r="F41" i="28"/>
  <c r="J41" i="28"/>
  <c r="F46" i="28"/>
  <c r="J46" i="28"/>
  <c r="F49" i="28"/>
  <c r="J49" i="28"/>
  <c r="F52" i="28"/>
  <c r="J52" i="28"/>
  <c r="F54" i="28"/>
  <c r="J54" i="28"/>
  <c r="F57" i="28"/>
  <c r="J57" i="28"/>
  <c r="F60" i="28"/>
  <c r="J60" i="28"/>
  <c r="F62" i="28"/>
  <c r="J62" i="28"/>
  <c r="F64" i="28"/>
  <c r="J64" i="28"/>
  <c r="F69" i="28"/>
  <c r="J69" i="28"/>
  <c r="F75" i="28"/>
  <c r="J75" i="28"/>
  <c r="F79" i="28"/>
  <c r="J79" i="28"/>
  <c r="F87" i="28"/>
  <c r="J87" i="28"/>
  <c r="F92" i="28"/>
  <c r="J92" i="28"/>
  <c r="J284" i="28"/>
  <c r="J282" i="28"/>
  <c r="F282" i="28"/>
  <c r="J280" i="28"/>
  <c r="F280" i="28"/>
  <c r="J278" i="28"/>
  <c r="F278" i="28"/>
  <c r="F277" i="28"/>
  <c r="J276" i="28"/>
  <c r="J273" i="28"/>
  <c r="J274" i="28" s="1"/>
  <c r="J272" i="28"/>
  <c r="F270" i="28"/>
  <c r="J269" i="28"/>
  <c r="J270" i="28" s="1"/>
  <c r="F269" i="28"/>
  <c r="J268" i="28"/>
  <c r="J264" i="28"/>
  <c r="J262" i="28"/>
  <c r="J260" i="28"/>
  <c r="J258" i="28"/>
  <c r="J256" i="28"/>
  <c r="J254" i="28"/>
  <c r="J250" i="28"/>
  <c r="F250" i="28"/>
  <c r="J248" i="28"/>
  <c r="F248" i="28"/>
  <c r="J246" i="28"/>
  <c r="F246" i="28"/>
  <c r="J244" i="28"/>
  <c r="F244" i="28"/>
  <c r="J242" i="28"/>
  <c r="F242" i="28"/>
  <c r="J240" i="28"/>
  <c r="F240" i="28"/>
  <c r="J238" i="28"/>
  <c r="J236" i="28"/>
  <c r="F236" i="28"/>
  <c r="J233" i="28"/>
  <c r="J234" i="28" s="1"/>
  <c r="F233" i="28"/>
  <c r="F234" i="28" s="1"/>
  <c r="J230" i="28"/>
  <c r="J231" i="28" s="1"/>
  <c r="F230" i="28"/>
  <c r="F231" i="28" s="1"/>
  <c r="J228" i="28"/>
  <c r="J229" i="28" s="1"/>
  <c r="F228" i="28"/>
  <c r="F229" i="28" s="1"/>
  <c r="J226" i="28"/>
  <c r="J227" i="28" s="1"/>
  <c r="F226" i="28"/>
  <c r="F227" i="28" s="1"/>
  <c r="J223" i="28"/>
  <c r="F223" i="28"/>
  <c r="J221" i="28"/>
  <c r="J222" i="28" s="1"/>
  <c r="F221" i="28"/>
  <c r="F222" i="28" s="1"/>
  <c r="J219" i="28"/>
  <c r="J220" i="28" s="1"/>
  <c r="F219" i="28"/>
  <c r="F220" i="28" s="1"/>
  <c r="J217" i="28"/>
  <c r="J218" i="28" s="1"/>
  <c r="F217" i="28"/>
  <c r="F218" i="28" s="1"/>
  <c r="J215" i="28"/>
  <c r="J216" i="28" s="1"/>
  <c r="F215" i="28"/>
  <c r="F216" i="28" s="1"/>
  <c r="J213" i="28"/>
  <c r="J214" i="28" s="1"/>
  <c r="F213" i="28"/>
  <c r="F214" i="28" s="1"/>
  <c r="J211" i="28"/>
  <c r="J212" i="28" s="1"/>
  <c r="F211" i="28"/>
  <c r="F212" i="28" s="1"/>
  <c r="J209" i="28"/>
  <c r="J210" i="28" s="1"/>
  <c r="F209" i="28"/>
  <c r="F210" i="28" s="1"/>
  <c r="J208" i="28"/>
  <c r="F208" i="28"/>
  <c r="J205" i="28"/>
  <c r="J206" i="28" s="1"/>
  <c r="F205" i="28"/>
  <c r="F206" i="28" s="1"/>
  <c r="F203" i="28"/>
  <c r="J202" i="28"/>
  <c r="J204" i="28" s="1"/>
  <c r="F202" i="28"/>
  <c r="J200" i="28"/>
  <c r="F200" i="28"/>
  <c r="J199" i="28"/>
  <c r="F199" i="28"/>
  <c r="J198" i="28"/>
  <c r="F198" i="28"/>
  <c r="J196" i="28"/>
  <c r="F196" i="28"/>
  <c r="J194" i="28"/>
  <c r="F194" i="28"/>
  <c r="J192" i="28"/>
  <c r="F191" i="28"/>
  <c r="F192" i="28" s="1"/>
  <c r="J190" i="28"/>
  <c r="F189" i="28"/>
  <c r="F190" i="28" s="1"/>
  <c r="J187" i="28"/>
  <c r="J188" i="28" s="1"/>
  <c r="F187" i="28"/>
  <c r="F150" i="28"/>
  <c r="F148" i="28"/>
  <c r="J145" i="28"/>
  <c r="F145" i="28"/>
  <c r="J139" i="28"/>
  <c r="J137" i="28"/>
  <c r="F137" i="28"/>
  <c r="J134" i="28"/>
  <c r="F134" i="28"/>
  <c r="J131" i="28"/>
  <c r="J129" i="28"/>
  <c r="J127" i="28"/>
  <c r="J125" i="28"/>
  <c r="F125" i="28"/>
  <c r="J120" i="28"/>
  <c r="F120" i="28"/>
  <c r="J116" i="28"/>
  <c r="F116" i="28"/>
  <c r="J114" i="28"/>
  <c r="F114" i="28"/>
  <c r="J104" i="28"/>
  <c r="F104" i="28"/>
  <c r="J99" i="28"/>
  <c r="F99" i="28"/>
  <c r="J94" i="28"/>
  <c r="F94" i="28"/>
  <c r="J84" i="28"/>
  <c r="F84" i="28"/>
  <c r="J37" i="28"/>
  <c r="F37" i="28"/>
  <c r="J35" i="28"/>
  <c r="F35" i="28"/>
  <c r="J33" i="28"/>
  <c r="F33" i="28"/>
  <c r="J31" i="28"/>
  <c r="F31" i="28"/>
  <c r="J29" i="28"/>
  <c r="F29" i="28"/>
  <c r="J26" i="28"/>
  <c r="F26" i="28"/>
  <c r="J24" i="28"/>
  <c r="F24" i="28"/>
  <c r="J22" i="28"/>
  <c r="F22" i="28"/>
  <c r="J20" i="28"/>
  <c r="F20" i="28"/>
  <c r="J18" i="28"/>
  <c r="F18" i="28"/>
  <c r="J16" i="28"/>
  <c r="F16" i="28"/>
  <c r="J4" i="28"/>
  <c r="F4" i="28"/>
  <c r="K467" i="1"/>
  <c r="G467" i="1"/>
  <c r="F258" i="29" l="1"/>
  <c r="F29" i="29"/>
  <c r="J234" i="29"/>
  <c r="F27" i="28"/>
  <c r="J29" i="29"/>
  <c r="F177" i="29"/>
  <c r="J177" i="29"/>
  <c r="F285" i="28"/>
  <c r="F80" i="28"/>
  <c r="F188" i="28"/>
  <c r="J285" i="28"/>
  <c r="J318" i="29"/>
  <c r="F221" i="29"/>
  <c r="J82" i="29"/>
  <c r="J80" i="28"/>
  <c r="J146" i="28"/>
  <c r="F146" i="28"/>
  <c r="J27" i="28"/>
  <c r="F318" i="29"/>
  <c r="F237" i="29"/>
  <c r="F265" i="29" s="1"/>
  <c r="F82" i="29"/>
  <c r="J265" i="29"/>
  <c r="F204" i="28"/>
  <c r="F201" i="28"/>
  <c r="F225" i="28"/>
  <c r="J201" i="28"/>
  <c r="J225" i="28"/>
  <c r="J334" i="29" l="1"/>
  <c r="F334" i="29"/>
  <c r="J232" i="28"/>
  <c r="J286" i="28" s="1"/>
  <c r="K234" i="29"/>
  <c r="F232" i="28"/>
  <c r="F286" i="28" s="1"/>
  <c r="K201" i="28"/>
  <c r="K442" i="1" l="1"/>
  <c r="K445" i="1"/>
  <c r="K461" i="1" l="1"/>
  <c r="K459" i="1"/>
  <c r="K457" i="1"/>
  <c r="K455" i="1"/>
  <c r="K453" i="1"/>
  <c r="K450" i="1"/>
  <c r="K451" i="1" s="1"/>
  <c r="K449" i="1"/>
  <c r="K439" i="1"/>
  <c r="K435" i="1"/>
  <c r="K433" i="1"/>
  <c r="K431" i="1"/>
  <c r="K429" i="1"/>
  <c r="K427" i="1"/>
  <c r="K418" i="1"/>
  <c r="K416" i="1"/>
  <c r="K414" i="1"/>
  <c r="K412" i="1"/>
  <c r="K410" i="1"/>
  <c r="K408" i="1"/>
  <c r="K406" i="1"/>
  <c r="K404" i="1"/>
  <c r="K402" i="1"/>
  <c r="K400" i="1"/>
  <c r="K398" i="1"/>
  <c r="K396" i="1"/>
  <c r="K394" i="1"/>
  <c r="K392" i="1"/>
  <c r="K390" i="1"/>
  <c r="G459" i="1" l="1"/>
  <c r="G457" i="1"/>
  <c r="G455" i="1"/>
  <c r="G454" i="1"/>
  <c r="K446" i="1" l="1"/>
  <c r="K447" i="1" s="1"/>
  <c r="G445" i="1" l="1"/>
  <c r="K387" i="1"/>
  <c r="K388" i="1" s="1"/>
  <c r="K462" i="1" s="1"/>
  <c r="G387" i="1"/>
  <c r="G384" i="1" l="1"/>
  <c r="G394" i="1"/>
  <c r="G404" i="1" l="1"/>
  <c r="H19" i="16"/>
  <c r="E19" i="16"/>
  <c r="G402" i="1" l="1"/>
  <c r="G400" i="1"/>
  <c r="G398" i="1"/>
  <c r="G396" i="1"/>
  <c r="G390" i="1"/>
  <c r="G388" i="1"/>
  <c r="E17" i="15"/>
  <c r="D17" i="15"/>
  <c r="G462" i="1" l="1"/>
  <c r="G15" i="15"/>
  <c r="G28" i="15" s="1"/>
  <c r="G14" i="15"/>
  <c r="G27" i="15" s="1"/>
  <c r="E15" i="15"/>
  <c r="E28" i="15" s="1"/>
  <c r="E14" i="15"/>
  <c r="E27" i="15" s="1"/>
  <c r="D15" i="15"/>
  <c r="D28" i="15" s="1"/>
  <c r="D14" i="15"/>
  <c r="D27" i="15" s="1"/>
  <c r="E9" i="15"/>
  <c r="E13" i="15" s="1"/>
  <c r="D9" i="15"/>
  <c r="D13" i="15" s="1"/>
  <c r="Q234" i="1"/>
  <c r="C4" i="15"/>
  <c r="D26" i="15" l="1"/>
  <c r="E26" i="15"/>
  <c r="C5" i="15"/>
  <c r="C6" i="15" s="1"/>
  <c r="C9" i="15" s="1"/>
  <c r="C13" i="15" l="1"/>
  <c r="I365" i="10" l="1"/>
  <c r="K384" i="1" l="1"/>
  <c r="K385" i="1" s="1"/>
  <c r="G385" i="1"/>
  <c r="K330" i="10" l="1"/>
  <c r="G264" i="1" l="1"/>
  <c r="G265" i="1" s="1"/>
  <c r="R234" i="1" s="1"/>
  <c r="K364" i="1" l="1"/>
  <c r="G364" i="1"/>
  <c r="K362" i="1" l="1"/>
  <c r="K369" i="1" l="1"/>
  <c r="K368" i="1"/>
  <c r="K367" i="1"/>
  <c r="K366" i="1"/>
  <c r="G370" i="1" l="1"/>
  <c r="K382" i="1"/>
  <c r="K383" i="1" s="1"/>
  <c r="G382" i="1"/>
  <c r="G383" i="1" s="1"/>
  <c r="K381" i="1"/>
  <c r="G381" i="1"/>
  <c r="K378" i="1"/>
  <c r="K379" i="1" s="1"/>
  <c r="G378" i="1"/>
  <c r="G379" i="1" s="1"/>
  <c r="K376" i="1"/>
  <c r="G376" i="1"/>
  <c r="K375" i="1"/>
  <c r="G375" i="1"/>
  <c r="K373" i="1"/>
  <c r="K374" i="1" s="1"/>
  <c r="G373" i="1"/>
  <c r="G374" i="1" s="1"/>
  <c r="K371" i="1"/>
  <c r="K372" i="1" s="1"/>
  <c r="G371" i="1"/>
  <c r="G372" i="1" s="1"/>
  <c r="K370" i="1"/>
  <c r="J367" i="1"/>
  <c r="K365" i="1"/>
  <c r="G365" i="1"/>
  <c r="G377" i="1" l="1"/>
  <c r="K377" i="1"/>
  <c r="K363" i="1"/>
  <c r="G362" i="1"/>
  <c r="G363" i="1" s="1"/>
  <c r="K360" i="1"/>
  <c r="K361" i="1" s="1"/>
  <c r="G360" i="1"/>
  <c r="G361" i="1" s="1"/>
  <c r="K358" i="1"/>
  <c r="K359" i="1" s="1"/>
  <c r="G358" i="1"/>
  <c r="G359" i="1" s="1"/>
  <c r="K356" i="1"/>
  <c r="K357" i="1" s="1"/>
  <c r="G357" i="1"/>
  <c r="G355" i="1" l="1"/>
  <c r="K355" i="1"/>
  <c r="K351" i="1"/>
  <c r="K353" i="1"/>
  <c r="G353" i="1"/>
  <c r="K349" i="1" l="1"/>
  <c r="G349" i="1"/>
  <c r="K347" i="1"/>
  <c r="G347" i="1"/>
  <c r="K345" i="1"/>
  <c r="G345" i="1"/>
  <c r="K343" i="1"/>
  <c r="G343" i="1"/>
  <c r="K341" i="1"/>
  <c r="G341" i="1"/>
  <c r="K339" i="1"/>
  <c r="G339" i="1"/>
  <c r="K336" i="1"/>
  <c r="K337" i="1" s="1"/>
  <c r="G336" i="1"/>
  <c r="G337" i="1" s="1"/>
  <c r="K331" i="1" l="1"/>
  <c r="K330" i="1"/>
  <c r="G331" i="1"/>
  <c r="G330" i="1"/>
  <c r="G318" i="1"/>
  <c r="G319" i="1" s="1"/>
  <c r="K319" i="1"/>
  <c r="G332" i="1" l="1"/>
  <c r="G334" i="1" l="1"/>
  <c r="K333" i="1"/>
  <c r="K335" i="1" s="1"/>
  <c r="G333" i="1"/>
  <c r="G335" i="1" l="1"/>
  <c r="K332" i="1"/>
  <c r="K329" i="1"/>
  <c r="G329" i="1"/>
  <c r="K327" i="1"/>
  <c r="G327" i="1"/>
  <c r="K325" i="1"/>
  <c r="G325" i="1"/>
  <c r="K317" i="1"/>
  <c r="K321" i="1"/>
  <c r="K323" i="1"/>
  <c r="G321" i="1"/>
  <c r="G323" i="1"/>
  <c r="G317" i="1"/>
  <c r="K314" i="1"/>
  <c r="G314" i="1"/>
  <c r="G215" i="1"/>
  <c r="G213" i="1"/>
  <c r="K210" i="1"/>
  <c r="G210" i="1"/>
  <c r="K202" i="1"/>
  <c r="G202" i="1"/>
  <c r="K200" i="1"/>
  <c r="G200" i="1"/>
  <c r="K198" i="1"/>
  <c r="K196" i="1"/>
  <c r="G196" i="1"/>
  <c r="K193" i="1"/>
  <c r="G193" i="1"/>
  <c r="K191" i="1"/>
  <c r="G191" i="1"/>
  <c r="K188" i="1"/>
  <c r="K186" i="1"/>
  <c r="K184" i="1"/>
  <c r="K182" i="1"/>
  <c r="K180" i="1"/>
  <c r="G180" i="1"/>
  <c r="K175" i="1"/>
  <c r="K173" i="1"/>
  <c r="G173" i="1"/>
  <c r="K169" i="1"/>
  <c r="G169" i="1"/>
  <c r="K166" i="1"/>
  <c r="G166" i="1"/>
  <c r="K164" i="1"/>
  <c r="G164" i="1"/>
  <c r="K160" i="1"/>
  <c r="G160" i="1"/>
  <c r="K158" i="1"/>
  <c r="G158" i="1"/>
  <c r="K156" i="1"/>
  <c r="G156" i="1"/>
  <c r="K154" i="1"/>
  <c r="G154" i="1"/>
  <c r="K150" i="1"/>
  <c r="G150" i="1"/>
  <c r="K140" i="1"/>
  <c r="G140" i="1"/>
  <c r="K135" i="1"/>
  <c r="G135" i="1"/>
  <c r="K130" i="1"/>
  <c r="G130" i="1"/>
  <c r="K128" i="1"/>
  <c r="G128" i="1"/>
  <c r="K123" i="1"/>
  <c r="G123" i="1"/>
  <c r="K120" i="1"/>
  <c r="G120" i="1"/>
  <c r="K115" i="1"/>
  <c r="G115" i="1"/>
  <c r="K111" i="1"/>
  <c r="G111" i="1"/>
  <c r="K105" i="1"/>
  <c r="G105" i="1"/>
  <c r="K100" i="1"/>
  <c r="G100" i="1"/>
  <c r="K98" i="1"/>
  <c r="K96" i="1"/>
  <c r="G96" i="1"/>
  <c r="K93" i="1"/>
  <c r="G93" i="1"/>
  <c r="K90" i="1"/>
  <c r="G90" i="1"/>
  <c r="K87" i="1"/>
  <c r="G87" i="1"/>
  <c r="K85" i="1"/>
  <c r="G85" i="1"/>
  <c r="K83" i="1"/>
  <c r="G83" i="1"/>
  <c r="K81" i="1"/>
  <c r="G81" i="1"/>
  <c r="K78" i="1"/>
  <c r="G78" i="1"/>
  <c r="K75" i="1"/>
  <c r="G75" i="1"/>
  <c r="K70" i="1"/>
  <c r="G70" i="1"/>
  <c r="K65" i="1"/>
  <c r="G65" i="1"/>
  <c r="K63" i="1"/>
  <c r="G63" i="1"/>
  <c r="K61" i="1"/>
  <c r="G61" i="1"/>
  <c r="K59" i="1"/>
  <c r="G59" i="1"/>
  <c r="K57" i="1"/>
  <c r="G57" i="1"/>
  <c r="K55" i="1"/>
  <c r="G55" i="1"/>
  <c r="K53" i="1"/>
  <c r="G53" i="1"/>
  <c r="K51" i="1"/>
  <c r="G51" i="1"/>
  <c r="K48" i="1"/>
  <c r="G48" i="1"/>
  <c r="K46" i="1"/>
  <c r="G46" i="1"/>
  <c r="K44" i="1"/>
  <c r="G44" i="1"/>
  <c r="K42" i="1"/>
  <c r="G42" i="1"/>
  <c r="K40" i="1"/>
  <c r="G40" i="1"/>
  <c r="K38" i="1"/>
  <c r="G38" i="1"/>
  <c r="K35" i="1"/>
  <c r="G35" i="1"/>
  <c r="K33" i="1"/>
  <c r="G33" i="1"/>
  <c r="K31" i="1"/>
  <c r="G31" i="1"/>
  <c r="K27" i="1"/>
  <c r="G27" i="1"/>
  <c r="K25" i="1"/>
  <c r="G25" i="1"/>
  <c r="K23" i="1"/>
  <c r="G23" i="1"/>
  <c r="K19" i="1"/>
  <c r="G19" i="1"/>
  <c r="K15" i="1"/>
  <c r="G15" i="1"/>
  <c r="K7" i="1"/>
  <c r="G7" i="1"/>
  <c r="K116" i="1" l="1"/>
  <c r="K49" i="1"/>
  <c r="G386" i="1"/>
  <c r="K386" i="1"/>
  <c r="Q317" i="1"/>
  <c r="R317" i="1"/>
  <c r="G49" i="1"/>
  <c r="G211" i="1"/>
  <c r="Q321" i="1"/>
  <c r="K211" i="1"/>
  <c r="K315" i="1"/>
  <c r="Q212" i="1"/>
  <c r="G116" i="1"/>
  <c r="R212" i="1"/>
  <c r="R321" i="1"/>
  <c r="G315" i="1"/>
  <c r="K807" i="1" l="1"/>
  <c r="G807" i="1"/>
</calcChain>
</file>

<file path=xl/sharedStrings.xml><?xml version="1.0" encoding="utf-8"?>
<sst xmlns="http://schemas.openxmlformats.org/spreadsheetml/2006/main" count="9534" uniqueCount="2246">
  <si>
    <t>№</t>
  </si>
  <si>
    <t>Наименование проекта</t>
  </si>
  <si>
    <t>Перечень мероприятий</t>
  </si>
  <si>
    <t>Объемы инвестиций (млн. тенге)</t>
  </si>
  <si>
    <t>Экономия энергетических ресурсов в натуральном выражении</t>
  </si>
  <si>
    <t>Экономия энергетических ресурсов в денежном выражении (млн. тенге)</t>
  </si>
  <si>
    <t>Наименование исполнителя</t>
  </si>
  <si>
    <t>Источник финансирования</t>
  </si>
  <si>
    <t>Год заключения договора</t>
  </si>
  <si>
    <t>Регион</t>
  </si>
  <si>
    <t>Текущее состояние договора</t>
  </si>
  <si>
    <t>ед. изм.</t>
  </si>
  <si>
    <t>значение</t>
  </si>
  <si>
    <t>1.</t>
  </si>
  <si>
    <t>Модернизация системы освещения АО «Казпочта»</t>
  </si>
  <si>
    <t>1. Замена существующих светильников на светодиодные лампы</t>
  </si>
  <si>
    <t>кВтч/год</t>
  </si>
  <si>
    <t>АО «Казпочта»</t>
  </si>
  <si>
    <t xml:space="preserve">ТОО «LED system media»,                                     г. Астана                        </t>
  </si>
  <si>
    <t>ТОО «LED system media» (ЭСКО)</t>
  </si>
  <si>
    <t>Нур-Султан</t>
  </si>
  <si>
    <t>Завершен</t>
  </si>
  <si>
    <t>Общая стоимость проекта</t>
  </si>
  <si>
    <t>2.</t>
  </si>
  <si>
    <t>1. Выравнивание нагрузок фаз в электрических сетях   ВЛ-04 кВ</t>
  </si>
  <si>
    <t xml:space="preserve"> АО «ТАТЭК»</t>
  </si>
  <si>
    <t>собственные средства</t>
  </si>
  <si>
    <t>Алматы</t>
  </si>
  <si>
    <t>2. Замена проводов на перегруженных линиях электропередач</t>
  </si>
  <si>
    <t>3.Замена перегруженных трансформаторов подстанции</t>
  </si>
  <si>
    <t>4. Замена недогруженных трансформаторов подстанции</t>
  </si>
  <si>
    <t>5. Оптимизация загрузки эл. сетей за счет строительства подстанции и укрепление фидеров 0,4 кВ</t>
  </si>
  <si>
    <t>6. Замена вводов в здании</t>
  </si>
  <si>
    <t>7. Внедрение программы АСКУЭ нижнего уровня</t>
  </si>
  <si>
    <t>3.</t>
  </si>
  <si>
    <t>Модернизация КГКП «Специализированный дом ребенка г.Усть-Каменогорск»</t>
  </si>
  <si>
    <t>1. Установка автоматизированного теплового пункта</t>
  </si>
  <si>
    <t>Гкал</t>
  </si>
  <si>
    <t>«ЭнКом-Ст», г. Астана</t>
  </si>
  <si>
    <t>2. Установка балансированных клапанов и терморегуляторов на радиаторах отопления</t>
  </si>
  <si>
    <t>3. Замена ламп на светодиодные светильники</t>
  </si>
  <si>
    <t>4.</t>
  </si>
  <si>
    <t>1.Установка автоматизированного теплового пункта</t>
  </si>
  <si>
    <t>ВКО</t>
  </si>
  <si>
    <t>5.</t>
  </si>
  <si>
    <t>Модернизация освещения ТОО «Добывающее предприятие «Орталык»</t>
  </si>
  <si>
    <t>1. Работы по замене трубчатых и компактных устройств освещения на светодиодные светильники на базе LED-технологий по объектам рудника</t>
  </si>
  <si>
    <t>ТОО «Добывающее предприятие «Орталык»</t>
  </si>
  <si>
    <t>ТОО                                «УранЭнергоПУЛ»</t>
  </si>
  <si>
    <t>6.</t>
  </si>
  <si>
    <t>Модернизация освещения                         ТОО «Корпорация Казахмыс»</t>
  </si>
  <si>
    <t>1. Замена осветительных приборов</t>
  </si>
  <si>
    <t xml:space="preserve"> ТОО «Корпорация Казахмыс»</t>
  </si>
  <si>
    <t>7.</t>
  </si>
  <si>
    <t>Модернизация систем освещения и отопления КГП на ПХВ «Городская поликлиника №2»</t>
  </si>
  <si>
    <t>КГП на ПХВ «Городская поликлиника №2»</t>
  </si>
  <si>
    <t>Казахстанская программа по сдерживанию изменения климата (КССМР). Проект USAID под управлением корпорации Тетра Тек</t>
  </si>
  <si>
    <t>8.</t>
  </si>
  <si>
    <t>Модернизация освещении АО «Каустик»</t>
  </si>
  <si>
    <t>1. Прокладка теплотрассы для нужд отопления СОХПВ</t>
  </si>
  <si>
    <t>АО «Каустик»</t>
  </si>
  <si>
    <t>Павлодар</t>
  </si>
  <si>
    <t>9.</t>
  </si>
  <si>
    <t>1. Замена котла в котельной</t>
  </si>
  <si>
    <t>Тонн (газ сж.)</t>
  </si>
  <si>
    <t xml:space="preserve">  ТОО «AlemGaz»                                      </t>
  </si>
  <si>
    <t>Караганда</t>
  </si>
  <si>
    <t>10.</t>
  </si>
  <si>
    <t xml:space="preserve"> ТОО «КазФосФат»</t>
  </si>
  <si>
    <t>Модернизация освещения                                          ГКП на ПХВ «Тупкарагайская ЦРБ», г.Форт-Шевченко, Мангистауская область</t>
  </si>
  <si>
    <t>Замена освещения на светодиодные светильники</t>
  </si>
  <si>
    <t xml:space="preserve">Управление здравоохранения Кызылординской области            </t>
  </si>
  <si>
    <t>Проект ПРООН/ГЭФ «Продвижение энергоэффективного освещения в Казахстане»</t>
  </si>
  <si>
    <t>Модернизация освещения                                     КГУ «Реабилитационный центр для инвалидов»,  г.Кызылорда</t>
  </si>
  <si>
    <t>Модернизация освещения ГКП на ПВХ «Городская поликлиника №6», г.Кызылорда</t>
  </si>
  <si>
    <t>Модернизация освещения ГКП на ПВХ «Актауская городская поликлиника №2», г.Актау</t>
  </si>
  <si>
    <t xml:space="preserve">Управление здравоохранения Мангистауской области   </t>
  </si>
  <si>
    <t>Модернизация освещения                                 КГУ «Школа-интернат «АКНИЕТ» для детей с ограниченными возможностями»,  г.Усть-Каменогорск</t>
  </si>
  <si>
    <t xml:space="preserve">Управление образования Восточно-Казахстанской области   </t>
  </si>
  <si>
    <t>ИТОГИ за 2016 год</t>
  </si>
  <si>
    <t>Модернизация освещения ТОО «Алматинский университет энергетики и связи»</t>
  </si>
  <si>
    <t>Замена ламп накаливания и люминесцентных светильников в фойе, коридорах и жилых секциях общежитий НАО "АУЭС" на светодиодные лампы и светильники"</t>
  </si>
  <si>
    <t>ТОО «Алматинский университет энергетики и связи»</t>
  </si>
  <si>
    <t>ТОО «Центр  энергетики и связи», г. Алматы</t>
  </si>
  <si>
    <t>ТОО «Центр энергетики и связи», г. Алматы (ЭСКО)</t>
  </si>
  <si>
    <t>Модернизация системы освещения ГУ «Управление энергетики и жилищно-коммунального хозяйства Атырауской области»</t>
  </si>
  <si>
    <t>Строительство и эксплуатация сетей уличного освещения в Атырау</t>
  </si>
  <si>
    <t>кВтч                       /год</t>
  </si>
  <si>
    <t>ГУ «Управление энергетики и жилищно-коммунального хозяйства Атырауской области»</t>
  </si>
  <si>
    <t>ТОО «Батыс Энерго Транзит»</t>
  </si>
  <si>
    <t>Заемные средства (ГЧП)</t>
  </si>
  <si>
    <t>Модернизация «Аксуский Завод Ферросплавов» - филиал АО «ТНК «КАЗХРОМ»</t>
  </si>
  <si>
    <t>Модернизация системы освещения</t>
  </si>
  <si>
    <t>АО «ТНК «КАЗХРОМ»</t>
  </si>
  <si>
    <t>ТОО «PROLUX LED»</t>
  </si>
  <si>
    <t>ТОО «PROLUX LED» (ЭСКО)</t>
  </si>
  <si>
    <t>Модернизация системы освещения ГУ «Отдел жилищно-коммунального хозяйства, пассажирского транспорта и автомобильных дорог города Экибастуз»</t>
  </si>
  <si>
    <t>Замена уличного освещения на светодиодное</t>
  </si>
  <si>
    <t>ГУ «Отдел жилищно-коммунального хозяйства, пассажирского транспорта и автомобильных дорог города Экибастуз»</t>
  </si>
  <si>
    <t xml:space="preserve"> «Модернизация уличного освещения города Павлодар» ГУ «Отдел ЖКХ, ПТ и АД города Павлодар»</t>
  </si>
  <si>
    <t>ГУ «Отдел ЖКХ, ПТ и АД города Павлодар»</t>
  </si>
  <si>
    <t>ТОО «Altocom»</t>
  </si>
  <si>
    <t>Замена осветительных приборов на энергосберегающие</t>
  </si>
  <si>
    <t>АО «Рахат»</t>
  </si>
  <si>
    <t>Собственные средства</t>
  </si>
  <si>
    <t>Модернизация системы освещения                               АО «Аралтуз»</t>
  </si>
  <si>
    <t>Замена люминесцентных светильников и ламп накаливания на светодиодные светильники</t>
  </si>
  <si>
    <t>АО «Аралтуз»</t>
  </si>
  <si>
    <t>АО «Интергаз Центральная Азия»</t>
  </si>
  <si>
    <t>Модернизация системы освещения ТОО «Алтын Дан»</t>
  </si>
  <si>
    <t>1. Замена офисного и цеховного освещения на светодиодные</t>
  </si>
  <si>
    <t>ТОО «АлтынДан»</t>
  </si>
  <si>
    <t>2. Замена наружного освещения на светодиодные</t>
  </si>
  <si>
    <t>3. Опимизация управления в автоматическом режиме наружного освещения с примененнем фото-реле</t>
  </si>
  <si>
    <t>4. Установка системы ЧРП на центробежный насос</t>
  </si>
  <si>
    <t>Модернизация ТОО «Атырауский НПЗ»</t>
  </si>
  <si>
    <t>1.Изоляция паровой сети (клапана и трубопроводы)</t>
  </si>
  <si>
    <t>2.Внедрение установки по компенсации реактивной мощности (УКРМ) на ЦРП-2</t>
  </si>
  <si>
    <t>3.Капитальный ремонт насоса установки ЭЛОУАВТ-3 Н-124А</t>
  </si>
  <si>
    <t>4.Внутреннее покрытие поверхности рабочего колеса 6-и насосов охлаждающей воды</t>
  </si>
  <si>
    <t>Модернизация  энергосистемы                 ТОО «РУ-6»</t>
  </si>
  <si>
    <t>1. Замена люминесцентных светильников на светодиодные светильники</t>
  </si>
  <si>
    <t>ТОО «РУ-6»</t>
  </si>
  <si>
    <t>2. Ежегодная замена силовых трансформаторов ТМ630/6 на ТМ250/6 в количестве 3 шт.</t>
  </si>
  <si>
    <t>Модернизация                              АО «Камаз-Инжиниринг»</t>
  </si>
  <si>
    <t>1. Модернизация системы освещения</t>
  </si>
  <si>
    <t>АО «Камаз-Инжиниринг»</t>
  </si>
  <si>
    <t>2. Установка компенсации реактивной мощности</t>
  </si>
  <si>
    <t>ТОО «Усть-Каменогорская   ТЭЦ»</t>
  </si>
  <si>
    <t>Модернизация                       ТОО «СП «КазГерМунай»</t>
  </si>
  <si>
    <t>Замена существующих светильников на светодиодные</t>
  </si>
  <si>
    <t>ТОО "СП «КазГерМунай»</t>
  </si>
  <si>
    <t>Установка калориметра газовой смеси на ГПС-2</t>
  </si>
  <si>
    <t>т.у.т.</t>
  </si>
  <si>
    <t>АО «АрселорМиттал Темиртау»</t>
  </si>
  <si>
    <t>АО «Каспий Нефть»</t>
  </si>
  <si>
    <t>Модернизация                           АО «Атырауские Тепловые Сети»</t>
  </si>
  <si>
    <t>1.Ремонт систем освещения в помещениях</t>
  </si>
  <si>
    <t>АО «Атырауские Тепловые Сети»</t>
  </si>
  <si>
    <t>2.Покрытие теплоизоляцией сетевых труботпроводов в здании сетевой насосной СН-1-го подъема и сетевых трубопроводов трубинного цеха, ТЭЦ-2</t>
  </si>
  <si>
    <t>Модернизация                           АО «Астана-Энергия»</t>
  </si>
  <si>
    <t>АО «Астана-Энергия»</t>
  </si>
  <si>
    <t>Нур-султан</t>
  </si>
  <si>
    <t>2.Покрытие теплоизоляцией сетевых трубопроводов в здании сетевой насосной СН-1-го подъема и сетевых трубопроводов трубинного цеха, ТЭЦ-2</t>
  </si>
  <si>
    <t>Модернизация                        АО «Университет Нархоз»</t>
  </si>
  <si>
    <t>Замена освещения на светодиодные</t>
  </si>
  <si>
    <t>АО «Университет Нархоз»</t>
  </si>
  <si>
    <t>Модернизация                                    АО «Айдабульский спиртзавод»</t>
  </si>
  <si>
    <t>Замена ламп накаливания на светодиодные</t>
  </si>
  <si>
    <t>АО «Айдабульский спиртзавод»</t>
  </si>
  <si>
    <t>Модернизация                       АО «Астана-РЭК»</t>
  </si>
  <si>
    <t>1.Замена светильников на светодиодные</t>
  </si>
  <si>
    <t>АО «Астана-РЭК»</t>
  </si>
  <si>
    <t>2.Установка датчиков движения</t>
  </si>
  <si>
    <t>3.АСКУЭ частного сектора (нижний уровень) точек учета</t>
  </si>
  <si>
    <t>4.Внедрение АСКУЭ на МЖФ</t>
  </si>
  <si>
    <t>Модернизация                                   ТОО «Tau-Ken Temir»</t>
  </si>
  <si>
    <t>1.Замена люминесцентных светильников на светодиодные светильники</t>
  </si>
  <si>
    <t>ТОО «Tau-Ken Temir»</t>
  </si>
  <si>
    <t>2.Замена светильников с лампами ДРЛ на светодиодные</t>
  </si>
  <si>
    <t>3.Установка ЧРП</t>
  </si>
  <si>
    <t>4.Замена утеплителей окон, дверей и ворот</t>
  </si>
  <si>
    <t>5.Модернизация системы вентиляции и кондиционирования</t>
  </si>
  <si>
    <t>Реализация плана мероприятий по энергосбережению и энергоэффективности АО «Астана-Теплотранзит»</t>
  </si>
  <si>
    <t>1.Установка ЧРП в насосной станции  №6 и 7, 2ед.</t>
  </si>
  <si>
    <t>АО «Астана-Теплотранзит»</t>
  </si>
  <si>
    <t>2.Установка систем автоматического освещения на светодиодное с датчикамидвижения в производственных помещениях, 340 ед.</t>
  </si>
  <si>
    <t>3.Реконструкция тепловых сетей с применением ППУ труб, 7142 м.п. труб</t>
  </si>
  <si>
    <t>ИТОГИ за 2017 год</t>
  </si>
  <si>
    <t>ТОО «Kagazy Recycling» Замена светильников освещения предприятия на энергосберегающие (индукционные и светодиодные)</t>
  </si>
  <si>
    <t>Замена светильников с лампами ДРЛ-400 количество 53 штук на индукционные светильники с лампами 150 Вт, и МГЛ-400 количество 341 штук на индукционные светильники с лампами 200 Вт</t>
  </si>
  <si>
    <t>ТОО «Kagazy Recycling»</t>
  </si>
  <si>
    <t>“Innovative technologies of light”</t>
  </si>
  <si>
    <t>“Innovative technologies of light” (ЭСКО)</t>
  </si>
  <si>
    <t>2.Замена светильников с лампами ДРЛ-250 количество 203 штук на «Модуль» универсальный с лампами 64 Вт, и МГЛ-250 количество 106 штук на «Модуль» универсальный с лампами 96 Вт</t>
  </si>
  <si>
    <t>3.Замена светильников с лампами ДРЛ-125 количество 9 штук на «Модуль» универсальный с лампами 32 Вт</t>
  </si>
  <si>
    <t>Повышение энергоэффективности АО “НТЦ “Парасат”</t>
  </si>
  <si>
    <t>1.Модернизация системы внутреннего и наружного освещения</t>
  </si>
  <si>
    <t>АО “НТЦ “Парасат”</t>
  </si>
  <si>
    <t>2.Установка АТП</t>
  </si>
  <si>
    <t>Модернизация ГКП «Астана Су Арнасы» по энергосбережению</t>
  </si>
  <si>
    <t xml:space="preserve">1.Модернизация системы освещения </t>
  </si>
  <si>
    <t>ГКП на ПХВ «Астана Су Арнасы»</t>
  </si>
  <si>
    <t>2.Модернизация уличного освещения, замена на светодиодные светильники</t>
  </si>
  <si>
    <t>3.Внедрение автоматической системы управления освещением</t>
  </si>
  <si>
    <t>4.Установка частотных регуляторов на управление насосами 0,4кВ (43ед.)</t>
  </si>
  <si>
    <t xml:space="preserve">Модернизация и эксплуатация системы освещения здания административно-технологического комплекса «Transport tower» </t>
  </si>
  <si>
    <t>Замена ламп/светильников наружного и внутреннего освещения на светодиодные;  Установка датчиков движения в санитарных узлах и местах для курения; Эксплуатация системы освещения в течении 6 лет.</t>
  </si>
  <si>
    <t>МИИТ РК</t>
  </si>
  <si>
    <t xml:space="preserve">ТОО «LED system media», г. Астана                        </t>
  </si>
  <si>
    <t>ТОО «LED system media» (ГЧП)</t>
  </si>
  <si>
    <t>Модернизация ТОО "Караганда Су"</t>
  </si>
  <si>
    <t>1.Установка 4-х автоматизированных пунктов (АТП);</t>
  </si>
  <si>
    <t>ТОО "Караганда Су"</t>
  </si>
  <si>
    <t>2.Замена ламп и светильников на энергосберегающие;</t>
  </si>
  <si>
    <t>3.Установка фотореле на наружное освещение;</t>
  </si>
  <si>
    <t>4.Установка датчиков движения.</t>
  </si>
  <si>
    <t>Модернизация АО «Усть-Каменогорская птицефабрика»</t>
  </si>
  <si>
    <t xml:space="preserve">1.  Замена люминесцентного освещения на светодиодное </t>
  </si>
  <si>
    <t>АО «Усть-Каменогорская птицефабрика»</t>
  </si>
  <si>
    <t>2. Установка датчиков движение на освещение</t>
  </si>
  <si>
    <t>3. Установка компенсации реактивной мощности (3 из 17)</t>
  </si>
  <si>
    <t>4. Замена приводов на электродвигателях приточной вентиляции в двух цехах из четырех</t>
  </si>
  <si>
    <t>Модернизация АО "ЭмбаМунайГаз"</t>
  </si>
  <si>
    <t>1. Установка ЧРП</t>
  </si>
  <si>
    <t>АО "ЭмбаМунайГаз"</t>
  </si>
  <si>
    <t>2. Установка КРМ</t>
  </si>
  <si>
    <t>3. Мероприятие по обеспечению предприятия пресной водой с помощью мембранных технологий</t>
  </si>
  <si>
    <t>м3 (вода)</t>
  </si>
  <si>
    <t>4. Утилизация попутного газа на мини-ТЭЦ мощностью 3 МВт</t>
  </si>
  <si>
    <t>5. Утилизация попутного газа на мини-ТЭЦ общей мощностью 5 МВт</t>
  </si>
  <si>
    <t>6. Мероприятие по теплоизоляции трубопроводов печей подогрева нефти (~10 км)</t>
  </si>
  <si>
    <t xml:space="preserve">7.  Модернизация системы освещения </t>
  </si>
  <si>
    <t>8. Внедрение частотно-регулируемых приводов для электродвигателей насосов системы ППД и ППН</t>
  </si>
  <si>
    <t>9. Внедрение автоматической системы контроля и учета электроэнергии (АСКУЭ)</t>
  </si>
  <si>
    <t>Модернизация АО "Шымкентмай"</t>
  </si>
  <si>
    <t>1. Установка газопоршневых  генераторов - 2 ед. (1560кВт,50Гц)</t>
  </si>
  <si>
    <t>АО "Шымкентмай"</t>
  </si>
  <si>
    <t>Шымкент</t>
  </si>
  <si>
    <t>2. Установка чиллера и теплообменника для охлаждения воды</t>
  </si>
  <si>
    <t>тонн (пара)</t>
  </si>
  <si>
    <t>3. Установка системы возврата конденсата в котельную</t>
  </si>
  <si>
    <t>Модернизация оборудования ТОО «Kagazy Recycling»</t>
  </si>
  <si>
    <t>Установка компенсации реактивной мощности</t>
  </si>
  <si>
    <t>ИП "Саржанова Ш.У."</t>
  </si>
  <si>
    <t>ИП Саржанова (ЭСКО)</t>
  </si>
  <si>
    <t>Модернизация освещения ТОО "Алтын Дан"</t>
  </si>
  <si>
    <t>Установка устройств плавного пуска эл.двигателей норий 30 кВт и 75 кВт-4 шт./ Установка устройств частотного регулятора на центробежных насосах</t>
  </si>
  <si>
    <t>ТОО "Алтын Дан"</t>
  </si>
  <si>
    <t>Модернизация освещения ТОО "СП Инкай" Казатомпром</t>
  </si>
  <si>
    <t>Освещение/замена маслянных обогревателей на инфракрасные</t>
  </si>
  <si>
    <t xml:space="preserve"> ТОО "СП Инкай" Казатомпром</t>
  </si>
  <si>
    <t>Модернизация/реконструкция предприятия АО "СевКазЭнерго"</t>
  </si>
  <si>
    <t>Замена конденсатного насоса бойлерной установки</t>
  </si>
  <si>
    <t>АО "Севказэнерго"</t>
  </si>
  <si>
    <t>Реконструкция разогревающего устройства</t>
  </si>
  <si>
    <t>литр</t>
  </si>
  <si>
    <t>Модернизация освещения 
АО «Кедентранссервис»</t>
  </si>
  <si>
    <t>Модернизация освещения</t>
  </si>
  <si>
    <t>АО "Кедентранссервис"</t>
  </si>
  <si>
    <t>«Модернизация ТОО «Шахтинскводоканал»</t>
  </si>
  <si>
    <t>ТОО «Шахтинскводоканал»</t>
  </si>
  <si>
    <t>Внедрение частотно-регулируемого привода (ЧРП) насоса холодной воды</t>
  </si>
  <si>
    <t>Модернизация ГУ "Средняя школа № 9" г.Петропавловска</t>
  </si>
  <si>
    <t>Установка автоматизированного теплового пункта АТП</t>
  </si>
  <si>
    <t>Управление образования г.Петропавловск</t>
  </si>
  <si>
    <t>ГУ "Средняя школа № 9" управления образования г.Петропавловск</t>
  </si>
  <si>
    <t>Собственные средства (бюджетные средства)</t>
  </si>
  <si>
    <t>Установка терморегуляторов на падающем трубопроводе перед каждым прибором отопления с восстановлением перемычек на стояках перед приборами отопления и автоматических балансировочных клапанов на систему отопления</t>
  </si>
  <si>
    <t>Замена освещения на светодиодное</t>
  </si>
  <si>
    <t>Модернизация ТОО «Шантобе-энергокомплекс»</t>
  </si>
  <si>
    <t>Установка частотного регулятора</t>
  </si>
  <si>
    <t>ТОО «Шантобе-энергокомплекс»</t>
  </si>
  <si>
    <t>Модернизация ТОО "Степногорск Энерготранзит"</t>
  </si>
  <si>
    <t>Модернизация системы наружного и внутреннего освещения</t>
  </si>
  <si>
    <t>ТОО "Степногорск Энерготранзит"</t>
  </si>
  <si>
    <t>Установка теплоотражающих экранов за приборами отопления</t>
  </si>
  <si>
    <t>Замена деревянных окон на окна из поливинилхлоридного материала со стеклопакетами</t>
  </si>
  <si>
    <t>Установка автоматизированного теплового пункта в здании ХВО</t>
  </si>
  <si>
    <t>Модернизация ТОО «Бухтарминская Цементная Компания»</t>
  </si>
  <si>
    <t>Модернизация системы освещения, строительство линии 0,4 кВт, установка частотных преобразователей, установка водяного калорифера в помещении бутары гидрофола</t>
  </si>
  <si>
    <t>ТОО «Бухтарминская Цементная Компания»</t>
  </si>
  <si>
    <t>Модернизация ГКП ПХО "Лисаковскгоркоммунэнерго"</t>
  </si>
  <si>
    <t>Строительство газовых котельных</t>
  </si>
  <si>
    <t>ГКП ПХО "Лисаковскгоркоммунэнерго"</t>
  </si>
  <si>
    <t>Модернизация освещения ТОО «СП «Казгермунай»</t>
  </si>
  <si>
    <t>ТОО «СП «Казгермунай»</t>
  </si>
  <si>
    <t>Модернизация ТОО «МехЛитКом»</t>
  </si>
  <si>
    <t>Замена ламп на энергосберегающие</t>
  </si>
  <si>
    <t>ТОО «МехЛитКом»</t>
  </si>
  <si>
    <t>Модернизация ТОО "Стройпромгруп-2030"</t>
  </si>
  <si>
    <t>Замена приборов освещения на энергосберегающие</t>
  </si>
  <si>
    <t>ТОО "Стройпромгруп-2030"</t>
  </si>
  <si>
    <t>Установка частотных преобразователей на эл.двигатели мощностью 7,5 кВт</t>
  </si>
  <si>
    <t>Модернизация ТОО " Bassel Group LLS''</t>
  </si>
  <si>
    <t>Замена трубной системы конденсатора турбоагрегата ст.№9</t>
  </si>
  <si>
    <t>ТОО " Bassel Group LLS''</t>
  </si>
  <si>
    <t>Модернизация оснащения ИП Ибрай С.Н.</t>
  </si>
  <si>
    <t>Установка автоматики ЭКО-3 в кол-ве 1 шт., гидравлический узел ГУ-01 в кол-ве 1 шт., монтаж, сервис погодного регулирования. Кафе Амели</t>
  </si>
  <si>
    <t>ИП Ибрай С.Н.</t>
  </si>
  <si>
    <t>ТОО "ЭКО Сервис - 2030"</t>
  </si>
  <si>
    <t>ТОО "ЭКО Сервис - 2030" (ЭСКО)</t>
  </si>
  <si>
    <t>Установка автоматики погодного регулирования ЭКО-3 в кол-ве 4 шт., гидрострелка на 80 кВт в кол-ве 1 шт. Монтаж и сервис. Объект: Таксопарк Такси Народное</t>
  </si>
  <si>
    <t>м3</t>
  </si>
  <si>
    <t>Модернизация АО "Стройконструкция"</t>
  </si>
  <si>
    <t>Замена осветительных приборов на светодиодные</t>
  </si>
  <si>
    <t>АО "Стройконструкция"</t>
  </si>
  <si>
    <t>Модернизация АО "Цеснабанк"</t>
  </si>
  <si>
    <t>Компенсация реактивной мощности</t>
  </si>
  <si>
    <t>АО "Цеснабанк"</t>
  </si>
  <si>
    <t>Модернизация АО «Акмолинская распределительная электросетевая компания»</t>
  </si>
  <si>
    <t>Реконструкция сетей 0,4 кВ с заменой голого провода на самонесущий изолированный провод</t>
  </si>
  <si>
    <t>АО "АРЭК"</t>
  </si>
  <si>
    <t>Модернизация ПКСК "Алмас" и "Байторы" г. Алматы</t>
  </si>
  <si>
    <t>Замена светильников на светодиодные</t>
  </si>
  <si>
    <t>ПКСК "Алмас" и "Байторы" г. Алматы</t>
  </si>
  <si>
    <t>ТОО "Eurasia Light"</t>
  </si>
  <si>
    <t>ТОО "Eurasia Light" (ЭСКО)</t>
  </si>
  <si>
    <t>Модернизация и сервисное обслуживание Котельной
 ГКП «Школа-лицей № 101 города Кызылорда</t>
  </si>
  <si>
    <t xml:space="preserve">Модернизация Котла </t>
  </si>
  <si>
    <t>ГУ "Управление образования города Кызылорда"</t>
  </si>
  <si>
    <t>ТОО "Компания ГазСтрой"</t>
  </si>
  <si>
    <t>ТОО "Компания ГазСтрой" (ГЧП)</t>
  </si>
  <si>
    <t>Модернизация ГКП "ТЕПЛОКОМУНЭНЕРГО"</t>
  </si>
  <si>
    <t>ГКП "ТЕПЛОКОМУНЭНЕРГО"</t>
  </si>
  <si>
    <t>Установка ЧРП на приводах решеток котлов котельной "Габбасов"</t>
  </si>
  <si>
    <t>Установка ЧРП на приводах решеток котлов котельной "Центр"</t>
  </si>
  <si>
    <t>ИТОГИ за 2018 год</t>
  </si>
  <si>
    <t>Модернизация  ГУ "Управление энергетики и жилищно-коммунального хозяйства акимата Атырауской области"</t>
  </si>
  <si>
    <t>Модернизация и строительство системы уличного освешения в городе Атырау (протяженность улиц - 34 620 м)"</t>
  </si>
  <si>
    <t>ГУ "Управление энергетики и жилищно-коммунального хозяйства акимата Атырауской области"</t>
  </si>
  <si>
    <t>ТОО «Батыс Энерго Транзит» (ГЧП)</t>
  </si>
  <si>
    <t>На стадии реализации</t>
  </si>
  <si>
    <t>Модернизация и строительство системы уличного освешения в городе Атырау (протяженность улиц - 198 442 м)"</t>
  </si>
  <si>
    <t>Модернизация ГУ «Управление энергетики и жилищно-коммунального хозяйства Кызылординской области»</t>
  </si>
  <si>
    <t>«Модернизация и сервисное обслуживание системы отопления средних школ №47, №127, №219, №270 и Дом шкльников в поселке Шиели</t>
  </si>
  <si>
    <t>1180359 м3</t>
  </si>
  <si>
    <t>ГУ «Управление энергетики и жилищно-коммунального хозяйства Кызылординской области»</t>
  </si>
  <si>
    <t>ТОО «Компания ГазСтрой»</t>
  </si>
  <si>
    <t>ТОО «Компания ГазСтрой» (ГЧП)</t>
  </si>
  <si>
    <t>Модернизация и сервисное обслуживание системы отопления средних школ №47, №48, №244 и Дом культуры «Арман» в поселке Шиели, Шиелинского района</t>
  </si>
  <si>
    <t>2124646 м3</t>
  </si>
  <si>
    <t>Модернизация ТОО «Богатырь Комир»</t>
  </si>
  <si>
    <t>Модернизация системы освешения</t>
  </si>
  <si>
    <t>Модернизация АО «Соколовско-Сарбайское горно-обогатильное производственное Объединение»</t>
  </si>
  <si>
    <t>Модернизация системы освешения с использованием энергоэффекимвных LED светильников</t>
  </si>
  <si>
    <t>Модернизация АО «Қызылорда Электр Тарату Тораптары Компаниясы»</t>
  </si>
  <si>
    <t>Модернизация и реконструкции электросетей 10/04 кВ</t>
  </si>
  <si>
    <t>АО «Қызылорда Электр Тарату Тораптары Компаниясы»</t>
  </si>
  <si>
    <t>"Модернизация сетей уличного освещения Илийского района и доверительное управление ими" ГУ "Управление энергетики и жилищно-коммунального хозяйства акимата Алматинской области"</t>
  </si>
  <si>
    <t>Модернизация и строительство системы уличного освешения</t>
  </si>
  <si>
    <t>ГУ "Управление энергетики и жилищно-коммунального хозяйства акимата Алматинской области"</t>
  </si>
  <si>
    <t>ТОО "Жетісу жарығы"</t>
  </si>
  <si>
    <t>ТОО "Жетісу жарығы" (ГЧП)</t>
  </si>
  <si>
    <t>"Модернизация сетей уличного освещения Ескельдинского района и доверительное управление ими" ГУ "Управление энергетики и жилищно-коммунального хозяйства акимата Алматинской области"</t>
  </si>
  <si>
    <t>136018 кВтч</t>
  </si>
  <si>
    <t>"Модернизация сетей уличного освещения города Капшагай и доверительное управление ими" ГУ "Управление энергетики и жилищно-коммунального хозяйства акимата Алматинской области"</t>
  </si>
  <si>
    <t>Модернизация и строительство системы уличного освешения города Капшагай</t>
  </si>
  <si>
    <t>"Модернизация сетей уличного освещения города Текели и доверительное управление ими" ГУ "Управление энергетики и жилищно-коммунального хозяйства акимата Алматинской области"</t>
  </si>
  <si>
    <t>Модернизация и строительство системы уличного освешения города Текели</t>
  </si>
  <si>
    <t>"Модернизация сетей уличного освещения города Талдыкорган и доверительное управление ими" ГУ "Управление энергетики и жилищно-коммунального хозяйства акимата Алматинской области"</t>
  </si>
  <si>
    <t>Модернизация и строительство системы уличного освешения города Талдыкорган</t>
  </si>
  <si>
    <t>Модернизация ГУ "Аппарат акима Фёдоровского сельского округа"</t>
  </si>
  <si>
    <t>Модернизация системы уличного освешения</t>
  </si>
  <si>
    <t>ГУ "Аппарат акима Фёдоровского сельского округа"</t>
  </si>
  <si>
    <t>ТОО "Адал-И"</t>
  </si>
  <si>
    <t>ТОО "Адал-И" (ГЧП)</t>
  </si>
  <si>
    <t>«Реконструкция котельной Дома культуры и здания районного отдела занятости, социальных программ и регистрации актов гражданского состояния в городе Аральск» ГУ «Управление энергетики и жилищно-коммунального хозяйства Кызылординской области»</t>
  </si>
  <si>
    <t>Модернизация и сервисное обслуживание систем отопления</t>
  </si>
  <si>
    <t>м3 (при.газ)</t>
  </si>
  <si>
    <t>«Реконструкция котельной средних школ №62, №220 в городе Аральск» ГУ «Управление энергетики и жилищно-коммунального хозяйства Кызылординской области»</t>
  </si>
  <si>
    <t xml:space="preserve">Модернизация и сервисное обслуживание систем отопления </t>
  </si>
  <si>
    <t>Модернизация ТОО «СП«CASPI BITUM»</t>
  </si>
  <si>
    <t>ТОО «СП«CASPI BITUM»</t>
  </si>
  <si>
    <t>ТОО «СП«CASPI BITUM» (Собственные Средства)</t>
  </si>
  <si>
    <t>Модернизация ГУ "Управление энергетики и жилищно-коммунального хозяйства акимата Атырауской области"</t>
  </si>
  <si>
    <t>Модернизация и строительство системы уличного освешения в городе Кульсары (протяженность улиц - 68 368 метр)"</t>
  </si>
  <si>
    <t>Модернизация системы теплоснабжения Костанайский инженерно-экономический университет им. М.Дулатова</t>
  </si>
  <si>
    <t>Установка системы автоматического регулирования подачи тепловой энергии на нужды отопления</t>
  </si>
  <si>
    <t>Костанайский инженерно-экономический университет им. М.Дулатова</t>
  </si>
  <si>
    <t>ТОО «Экосервис-2030»</t>
  </si>
  <si>
    <t>Модернизация КГУ «Управление энергоэффективности и инфраструктурного развития г. Алматы»</t>
  </si>
  <si>
    <t>Модернизация системы уличного освешения города Алматы</t>
  </si>
  <si>
    <t>КГУ «Управление энергоэффективности и инфраструктурного развития г. Алматы»</t>
  </si>
  <si>
    <t>ТОО «Электроремонт»</t>
  </si>
  <si>
    <t>ТОО «Электроремонт» (ГЧП)</t>
  </si>
  <si>
    <t>Модернизация КГП на ПХВ "Мамлютская Центральная районная больница" Северо-Казахстанской области</t>
  </si>
  <si>
    <t>Модернизация, управление и эксплуатация автономной котельной</t>
  </si>
  <si>
    <t>тонн</t>
  </si>
  <si>
    <t>Управление здравоохранения СКО</t>
  </si>
  <si>
    <t>ТОО «Сапро-НАТ»</t>
  </si>
  <si>
    <t>ТОО «Сапро-НАТ» (ГЧП)</t>
  </si>
  <si>
    <t>Передача в доверительное управление котельных 18 школ Сарыкольского района, в том числе с установкой и эксплуатацией блочно-модульных котельных в 8 средних школах ТОО «Костанайская теплораспределительная компания»</t>
  </si>
  <si>
    <t>Управление образования Костанайской области</t>
  </si>
  <si>
    <t>ТОО «Костанайская теплораспределительная компания»</t>
  </si>
  <si>
    <t>Строительство котельной в ГУ "Михайловская средняя школа отдела образования акимата Карабалыкского района" Костанайской область ТОО «Костанай Стройтеплокотл Сервис»</t>
  </si>
  <si>
    <t>Модернизация и строительство систем отопления</t>
  </si>
  <si>
    <t>ТОО «Костанай Стройтеплокотл Сервис»</t>
  </si>
  <si>
    <t>Модернизация ГУ «Абайская ООШ Железинского района» ГУ «Управление энергетики и жилищно-коммунального хозяйства Павлодарской области»</t>
  </si>
  <si>
    <t xml:space="preserve"> ГУ «Управление энергетики и жилищно-коммунального хозяйства Павлодарской области»</t>
  </si>
  <si>
    <t>ТОО "САПРО-НАТ"</t>
  </si>
  <si>
    <t>Модернизация ГУ "Алакольская  ООШ Железинского района ГУ «Управление энергетики и жилищно-коммунального хозяйства Павлодарской области»</t>
  </si>
  <si>
    <t>Модернизация ГУ "Березовская ООШ Железинского района"   ГУ «Управление энергетики и жилищно-коммунального хозяйства Павлодарской области»</t>
  </si>
  <si>
    <t>Модернизация ГУ "Буденовская ООШ Железинского района" ГУ «Управление энергетики и жилищно-коммунального хозяйства Павлодарской области»</t>
  </si>
  <si>
    <t>Модернизация ГУ « Веселорощинская ОСШ Железинского района» ГУ «Управление энергетики и жилищно-коммунального хозяйства Павлодарской области»</t>
  </si>
  <si>
    <t>Модернизация ГУ «Екишокская основная общеобразовательная школа» ГУ «Управление энергетики и жилищно-коммунального хозяйства Павлодарской области»</t>
  </si>
  <si>
    <t>Модернизация ГУ «Енбекшинская ОСШ Железинского района» ГУ «Управление энергетики и жилищно-коммунального хозяйства Павлодарской области»</t>
  </si>
  <si>
    <t>Модернизация ГУ «Ескаринская ОСШ Железинского района» ГУ «Управление энергетики и жилищно-коммунального хозяйства Павлодарской области»</t>
  </si>
  <si>
    <t>Модернизация ГУ "Жолтаптыкская ООШ Железинского района" ГУ «Управление энергетики и жилищно-коммунального хозяйства Павлодарской области»</t>
  </si>
  <si>
    <t>Модернизация ГУ "Захаровская ООШ Железинского района" ГУ «Управление энергетики и жилищно-коммунального хозяйства Павлодарской области»</t>
  </si>
  <si>
    <t>Модернизация ГУ «Красновская НШ Железинского района» ГУ «Управление энергетики и жилищно-коммунального хозяйства Павлодарской области»</t>
  </si>
  <si>
    <t>Модернизация ГУ "Крупская ООШ Железинского района" ГУ «Управление энергетики и жилищно-коммунального хозяйства Павлодарской области»</t>
  </si>
  <si>
    <t>Модернизация ГУ "Лесная ОСШ Железинского района" ГУ «Управление энергетики и жилищно-коммунального хозяйства Павлодарской области»</t>
  </si>
  <si>
    <t>Модернизация ГУ «Мойсеевская ООШ Железинского района» ГУ «Управление энергетики и жилищно-коммунального хозяйства Павлодарской области»</t>
  </si>
  <si>
    <t>Модернизация ГУ «Озерная ООШ Железинского района» ГУ «Управление энергетики и жилищно-коммунального хозяйства Павлодарской области»</t>
  </si>
  <si>
    <t>Модернизация ГУ "ОСШ им. Ч. Валиханова Железинского района"  ГУ «Управление энергетики и жилищно-коммунального хозяйства Павлодарской области»</t>
  </si>
  <si>
    <t>Модернизация ГУ "ОСШ Жана Жулдыз Железинского района"  ГУ «Управление энергетики и жилищно-коммунального хозяйства Павлодарской области»</t>
  </si>
  <si>
    <t>Модернизация ГУ "Пятерыжская ООШ Железинского района" ГУ «Управление энергетики и жилищно-коммунального хозяйства Павлодарской области»</t>
  </si>
  <si>
    <t>Модернизация ГУ "Славянская ООШ Железинского района"   ГУ «Управление энергетики и жилищно-коммунального хозяйства Павлодарской области»</t>
  </si>
  <si>
    <t>Модернизация ГУ "Шолаксорская ОСШ Актогайского района"  ГУ «Управление энергетики и жилищно-коммунального хозяйства Павлодарской области»</t>
  </si>
  <si>
    <t>Модернизация ГУ "Береговое ООШ Железинского района ГУ «Управление энергетики и жилищно-коммунального хозяйства Павлодарской области»</t>
  </si>
  <si>
    <t>Модернизация ГУ "Кузьминская ООШ Железинского района" ГУ «Управление энергетики и жилищно-коммунального хозяйства Павлодарской области»</t>
  </si>
  <si>
    <t>Модернизация ГУ "Михайловская ОСШ Железинского района" ГУ «Управление энергетики и жилищно-коммунального хозяйства Павлодарской области»</t>
  </si>
  <si>
    <t>Модернизация и эксплуатация уличного освещения города Арыс Туркестанской области</t>
  </si>
  <si>
    <t>Модернизация и эксплуатация уличного освещения города Арыс</t>
  </si>
  <si>
    <t>ГУ "Управление энергетики и жилищно-коммунального хозяйства Туркестанской области"</t>
  </si>
  <si>
    <t>ТОО "Қызмет-Сервис-Арыс"</t>
  </si>
  <si>
    <t>ТОО "Қызмет-Сервис-Арыс" (ГЧП)</t>
  </si>
  <si>
    <t>Модернизация и эксплуатация уличного освещения Сузакского района, Туркестанской области</t>
  </si>
  <si>
    <t>Модернизация и эксплуатация уличного освещения Сузакского района</t>
  </si>
  <si>
    <t>ТОО "Torlan-Stroy"</t>
  </si>
  <si>
    <t>ТОО "Torlan-Stroy" (ГЧП)</t>
  </si>
  <si>
    <t>АО "Агромашхолдинг"</t>
  </si>
  <si>
    <t>139000 кВт*ч</t>
  </si>
  <si>
    <t xml:space="preserve"> ГУ «Управление энергетики и жилищно-коммунального хозяйства Костанайской области»</t>
  </si>
  <si>
    <t>АО "Агромашхолдинг" (Собственные Средства)</t>
  </si>
  <si>
    <t>Автоматизация освещения в местах общего пользования</t>
  </si>
  <si>
    <t>3300 кВт*ч</t>
  </si>
  <si>
    <t>Автоматизация освящения по технологическим линиям</t>
  </si>
  <si>
    <t>195000 кВт*ч</t>
  </si>
  <si>
    <t>Установка ЧРП Altivar 61, 90-630/380-480B на электродвигатели 250кВт</t>
  </si>
  <si>
    <t>368000 кВт*ч</t>
  </si>
  <si>
    <t xml:space="preserve">Регулярная очистка трубопроводов системы отопления и водоподготовка </t>
  </si>
  <si>
    <t>48800 кВт*ч</t>
  </si>
  <si>
    <t>Установка теплоотражающих экранов</t>
  </si>
  <si>
    <t>14000 кВт*ч</t>
  </si>
  <si>
    <t>ИТОГИ за 2019 год</t>
  </si>
  <si>
    <t>ГЧП</t>
  </si>
  <si>
    <t>ЭСКО</t>
  </si>
  <si>
    <t>кВт час</t>
  </si>
  <si>
    <t xml:space="preserve">Модернизация уличного освещения </t>
  </si>
  <si>
    <t>АО «Костанайские минералы»</t>
  </si>
  <si>
    <t>Установка автоматизированного теплового пункта</t>
  </si>
  <si>
    <t>ТОО "Тарбагатай Мунай"</t>
  </si>
  <si>
    <t>Мвтч</t>
  </si>
  <si>
    <t>ГУ "Управление энергетики и ЖКХ ВКО"</t>
  </si>
  <si>
    <t>Модернизация системы внутреннего и наружного освещения</t>
  </si>
  <si>
    <t>ТОО "Степногорск энерготранзит"</t>
  </si>
  <si>
    <t>Акмолинская область</t>
  </si>
  <si>
    <t>Установка АТП в здании ХВО</t>
  </si>
  <si>
    <t>ТОО "Джей Ти Ай Казахстан"</t>
  </si>
  <si>
    <t>ТОО "Авангард 7"</t>
  </si>
  <si>
    <t>Алматинская область</t>
  </si>
  <si>
    <t>ИТОГИ за 2020 год</t>
  </si>
  <si>
    <t>АО "Алюминий Казахстана"</t>
  </si>
  <si>
    <t>Применение светодиодных источников света для датчиков движения</t>
  </si>
  <si>
    <t>Павлодарская область</t>
  </si>
  <si>
    <t>компания Everlight Electronics Co. (Тайвань)</t>
  </si>
  <si>
    <t xml:space="preserve">Установка энергосберегаюших ламп (наружное освещение) </t>
  </si>
  <si>
    <t>ТОО "Экибастузская ГРЭС-1"</t>
  </si>
  <si>
    <t xml:space="preserve">Установка энергосберегаюших ламп (внутреннее освещение) </t>
  </si>
  <si>
    <t xml:space="preserve">Установка энергосберегаюших ламп </t>
  </si>
  <si>
    <t>Модернизация и доверительное управление системы наружного освещения города Тараз</t>
  </si>
  <si>
    <t>ГУ " Управление энергетики и ЖКХ акимата Жамбылской области"</t>
  </si>
  <si>
    <t>Жамбылская область</t>
  </si>
  <si>
    <t>ТОО Altocom Asia</t>
  </si>
  <si>
    <t>кВт/ч</t>
  </si>
  <si>
    <t xml:space="preserve">Модернизация уличного освещения в городе  Усть-Каменогорск </t>
  </si>
  <si>
    <t>Модернизация уличного освещения в городе Семей</t>
  </si>
  <si>
    <t xml:space="preserve">ТОО «LED SOLUTION», г. Астана           </t>
  </si>
  <si>
    <t>Модернизация и сервисное обслуживание системы отопления Аральского районного архива и Казалинской центральной районной больницы с амбулаторно-поликлинической услугой в поселке Айтеке би</t>
  </si>
  <si>
    <t xml:space="preserve">Модернизация и сервисное обслуживание системы отопления Аральского индустриально-технического колледжа и областной специальной санаторной школы-интернат №2 в городе Аральск
</t>
  </si>
  <si>
    <t xml:space="preserve">Модернизация и сервисное обслуживание системы отопления Жанакорганского аграрно-технического колледжа и  администаривного здания аппарата акима Жанакорганского района
</t>
  </si>
  <si>
    <t xml:space="preserve">Модернизация и сервисное обслуживание системы отопления Шиелийского индустриально-аграрного колледжа  и областного детского реабилитационного центра в поселке Шиели
</t>
  </si>
  <si>
    <t xml:space="preserve">Модернизация и сервисное обслуживание системы отопления Шиелийской центральной районной больнцы с амбулаторно-поликлинической услугой  в поселке Шиели и Шиелийского районного архива
</t>
  </si>
  <si>
    <t xml:space="preserve">Модернизация и сервисное обслуживание системы отопления базы специального медицинского снабжения в городе Кызылорда
</t>
  </si>
  <si>
    <t>Кызылординская область</t>
  </si>
  <si>
    <t>Перечень заявок по проектам в области энергосбережения и энергоэффективности для включения в Карту энергоэффективности</t>
  </si>
  <si>
    <t xml:space="preserve">Модернизация системы освещения с использованием светодиодных светильников
</t>
  </si>
  <si>
    <t>квтч</t>
  </si>
  <si>
    <t>АО "Соколовско-Сарбайское горно-обогатительное обьединение"</t>
  </si>
  <si>
    <t>Костанайская область</t>
  </si>
  <si>
    <t>ТОО "КПКФ "Ультра-Электро"</t>
  </si>
  <si>
    <t xml:space="preserve">Модернизация уличного освещения производственной базы ТОО ПКФ "Ультра-Электро"
</t>
  </si>
  <si>
    <t>Модернизация уличного освещения</t>
  </si>
  <si>
    <t>Азамат</t>
  </si>
  <si>
    <t>Ербол</t>
  </si>
  <si>
    <t>Альмира</t>
  </si>
  <si>
    <t>Олег</t>
  </si>
  <si>
    <t>Аида</t>
  </si>
  <si>
    <t>Баур</t>
  </si>
  <si>
    <t>Ерол</t>
  </si>
  <si>
    <t>Нурзада</t>
  </si>
  <si>
    <t>Багдат</t>
  </si>
  <si>
    <t>ОО "Женский луч"</t>
  </si>
  <si>
    <t xml:space="preserve">Установка системы АТП и балансировка системы отопления для энергосбережения </t>
  </si>
  <si>
    <t xml:space="preserve">Установка системы АТП и балансировка системы отопления  </t>
  </si>
  <si>
    <t xml:space="preserve">Текущий ремонт уличного освещения по улицам города Житикара </t>
  </si>
  <si>
    <t>ГУ Аппарат Акима города Житикары Житикаринского района</t>
  </si>
  <si>
    <t>Срок окупаемости</t>
  </si>
  <si>
    <t xml:space="preserve">Текущий ремонт уличного освещения </t>
  </si>
  <si>
    <t>Модернизация уличного освещения в городе Приозерск Карагандинской области</t>
  </si>
  <si>
    <t>Карагандинская область</t>
  </si>
  <si>
    <t>ГУ Отдел жкх, пассажирского транспорта и автодорог и жилищной инспекции г. Приозерск</t>
  </si>
  <si>
    <t>Модернизация уличного освещения города Тобыл</t>
  </si>
  <si>
    <t>ГУ Аппарат Акима города Тобыл Костанайского района</t>
  </si>
  <si>
    <t>Модернизация уличного освещения в городе Петропавловск Северо-Казахстанской области</t>
  </si>
  <si>
    <t xml:space="preserve">Модернизация уличного освещения в городе Петропавловск </t>
  </si>
  <si>
    <t xml:space="preserve">КГУ "Управление энергетики и ЖКХ акимата СКО" </t>
  </si>
  <si>
    <t>Северо-Казахстанская область</t>
  </si>
  <si>
    <t>Модернизация и реконструкция предприятия АО "Севказэнерго"</t>
  </si>
  <si>
    <t>Завершено</t>
  </si>
  <si>
    <t>Замена ПСВ -500-3-23 №1 ТА-7</t>
  </si>
  <si>
    <t>Замена ПСВ -500-3-23 №2 ТА-7</t>
  </si>
  <si>
    <t>Замена трансформатора 3ГТ (программа энергосбережения)</t>
  </si>
  <si>
    <t>Замена трансформатора 3ГТ (недопущение недовыработки)</t>
  </si>
  <si>
    <t>Модернизация освещения ГКП на ПХВ РБ с. Новоишимское</t>
  </si>
  <si>
    <t>Замена ламп на светодиодное освещение</t>
  </si>
  <si>
    <t>ГКП на ПХВ РБ им. Мусрепова, с. Новоишимское</t>
  </si>
  <si>
    <t>Модернизация освещения ГКП на ПХВ ЦРБ с. Чистополье</t>
  </si>
  <si>
    <t>ГКП на ПХВ РБ им. Мусрепова, с. Чистополье</t>
  </si>
  <si>
    <t>Повышение энергоэффективности КГУ “Специальный комплекс "Детский сад-школа-интернат” с. Урюпинка Аккольского района Управления образования Акмолинской области</t>
  </si>
  <si>
    <t xml:space="preserve"> Управления образования Акмолинской области</t>
  </si>
  <si>
    <t>Замена устаревших котлов на энергоэффективные</t>
  </si>
  <si>
    <t>тут</t>
  </si>
  <si>
    <t>Модернизация системы освещения цеха производства аммиака ПАМ завода АО КазАзот"</t>
  </si>
  <si>
    <t>АО "КазАзот"</t>
  </si>
  <si>
    <t>Мангистауская область</t>
  </si>
  <si>
    <t>Текущий ремонт тепловых сетей города Приозерск Карагандинской области</t>
  </si>
  <si>
    <t>Модернизация системы освещения АО "Компания "Фудмастер"</t>
  </si>
  <si>
    <t>Замена люминисцентных ламп на светодиодные</t>
  </si>
  <si>
    <t>АО "Компания "Фудмастер"</t>
  </si>
  <si>
    <t>ТОО "Электросетьстрой"</t>
  </si>
  <si>
    <t>ТОО Mega  LTD </t>
  </si>
  <si>
    <t>Грантовые средства ВБ</t>
  </si>
  <si>
    <t>ТОО «СтройсервисКонтракшн»</t>
  </si>
  <si>
    <t>ТОО «КазСтройПроект»</t>
  </si>
  <si>
    <t>Газификация обьекта и перевод на газ котельной</t>
  </si>
  <si>
    <t xml:space="preserve">Модернизация и сервисное обслуживание системы отопления Жанакорганской центральной районной больницы с амбулаторно-поликлинической услугой  в поселке Жанакорган и Жанакорганского районного архива
</t>
  </si>
  <si>
    <t xml:space="preserve">Замена светильников на светодиодные </t>
  </si>
  <si>
    <t>Наименование заявителя</t>
  </si>
  <si>
    <t>Модернизация и эксплуатация сетей уличного освещения в городах Кокшетау и Щучинск Акмолинской области</t>
  </si>
  <si>
    <t>ГУ "Управление энергетики и ЖКХ Акмолинской области"</t>
  </si>
  <si>
    <t>Замена устаревших ламп на светодиодные</t>
  </si>
  <si>
    <t>ТОО «КазТехникс»</t>
  </si>
  <si>
    <t>Энергия тиімділігінің картасы</t>
  </si>
  <si>
    <t>Өтініш берушінің атауы</t>
  </si>
  <si>
    <t>Жобаның атауы</t>
  </si>
  <si>
    <t>Іс-шаралар тізімі</t>
  </si>
  <si>
    <t>Орындаушының атауы</t>
  </si>
  <si>
    <t>Қаржыландыру көзі</t>
  </si>
  <si>
    <t>өлш.бірл.</t>
  </si>
  <si>
    <t>мәні</t>
  </si>
  <si>
    <t>Заттай көріністегі энергетикалық ресурстарды үнемдеу</t>
  </si>
  <si>
    <t>Өтелу мерзімі</t>
  </si>
  <si>
    <t>Шарт жасалған жыл</t>
  </si>
  <si>
    <t>Аймақ</t>
  </si>
  <si>
    <t>Шарттың ағымдағы жағдайы</t>
  </si>
  <si>
    <t xml:space="preserve">"Қазпочта" АҚ </t>
  </si>
  <si>
    <t>"Қазпочта" АҚ жарықтандыру жүйесін жаңғырту</t>
  </si>
  <si>
    <t>1. Қолданыстағы шамдарды жарықдиодты шамдарға ауыстыру</t>
  </si>
  <si>
    <t xml:space="preserve">"LED system media" ЖШС, Астана қаласы                    </t>
  </si>
  <si>
    <t>"LED system media" ЖШС (ЭСКО)</t>
  </si>
  <si>
    <t>кВтс / жыл</t>
  </si>
  <si>
    <t>Аяқталды</t>
  </si>
  <si>
    <t>Жобаның жалпы құны</t>
  </si>
  <si>
    <t xml:space="preserve"> "ТАЭТК" АҚ</t>
  </si>
  <si>
    <t>"ТАЭТК"АҚ жаңғырту</t>
  </si>
  <si>
    <t>1. ӘЖ-04 кВ электр желілеріндегі фазалардың жүктемелерін теңестіру</t>
  </si>
  <si>
    <t>2. Артық жүктелген электр беру желілеріндегі сымдарды ауыстыру</t>
  </si>
  <si>
    <t>3.Артық жүктелген қосалқы станция трансформаторларын ауыстыру</t>
  </si>
  <si>
    <t>4. Қосалқы станцияның тиелмеген трансформаторларын ауыстыру</t>
  </si>
  <si>
    <t>5. Электрондық поштаны жүктеуді оңтайландыру. 0,4 кВ қосалқы станция салу және фидерлерді нығайту есебінен</t>
  </si>
  <si>
    <t>6. Ғимараттағы кірмелерді ауыстыру</t>
  </si>
  <si>
    <t>7. Төменгі деңгейдегі ЭКЕАЖ бағдарламасын енгізу</t>
  </si>
  <si>
    <t>"Энерго-Қуат" ЖШС, Алматы қ.</t>
  </si>
  <si>
    <t>Өскемен қаласының мамандандырылған балалар үйі "КМҚК жаңғырту"</t>
  </si>
  <si>
    <t>1.Автоматтандырылған жылу пунктін орнату</t>
  </si>
  <si>
    <t>2. Жылыту радиаторларында теңгеру клапандары мен термореттегіштерді орнату</t>
  </si>
  <si>
    <t>3. Шамдарды жарықдиодты шамдарға ауыстыру</t>
  </si>
  <si>
    <t>"ЭнКом-Ст", Астана қ.</t>
  </si>
  <si>
    <t>Климаттың өзгеруін тежеу жөніндегі қазақстандық бағдарлама (ҚЖХК). Тетра Тек корпорациясы басқаратын USAID жобасы</t>
  </si>
  <si>
    <t>ШҚО энергетика және тұрғын үй-коммуналдық шаруашылық басқармасы " ММ жаңғырту"</t>
  </si>
  <si>
    <t>ОРТАЛЫҚ "өндіруші кәсіпорны" ЖШС"</t>
  </si>
  <si>
    <t xml:space="preserve">ОРТАЛЫҚ "өндіруші кәсіпорын" ЖШС жарықтандыруды жаңғырту" </t>
  </si>
  <si>
    <t>1. Кеніш объектілері бойынша led-технологиялар базасында құбырлы және ықшам жарықтандыру құрылғыларын жарықдиодты шамдарға ауыстыру жұмыстары</t>
  </si>
  <si>
    <t>"УранЭнергоПУЛ" ЖШС</t>
  </si>
  <si>
    <t xml:space="preserve"> ЖШС "Қазақмыс Корпорациясы»</t>
  </si>
  <si>
    <t xml:space="preserve">Қазақмыс корпорациясы " ЖШС жарықтандыруды жаңғырту" </t>
  </si>
  <si>
    <t>1. Жарықтандыру құрылғыларын ауыстыру</t>
  </si>
  <si>
    <t xml:space="preserve">"LED SOLUTION" ЖШС, Астана қаласы     </t>
  </si>
  <si>
    <t xml:space="preserve">№2 қалалық емхана "ШЖҚ КМК" </t>
  </si>
  <si>
    <t>№2 қалалық емхана "ШЖҚ КМК жарықтандыру және жылыту жүйелерін жаңғырту»</t>
  </si>
  <si>
    <t>"Каустик" АҚ</t>
  </si>
  <si>
    <t>Каустик " АҚ жарықтандыруын жаңғырту"</t>
  </si>
  <si>
    <t>1. СОХПВ жылыту қажеттіліктері үшін жылу трассасын төсеу</t>
  </si>
  <si>
    <t xml:space="preserve">  ЖШС "AlemGaz"                                    </t>
  </si>
  <si>
    <t>AlemGaz "ЖШС жаңғырту"</t>
  </si>
  <si>
    <t xml:space="preserve">1.жылыту қазандығын ауыстыру </t>
  </si>
  <si>
    <t xml:space="preserve">"Жахан-Инжиниринг" ЖШС, Астана қаласы                                         </t>
  </si>
  <si>
    <t xml:space="preserve"> "Қазфосфат" ЖШС»</t>
  </si>
  <si>
    <t>Қазфосфат " ЖШС жаңғырту"</t>
  </si>
  <si>
    <t>1. ЖЖЖ орнату (2 бірлік)</t>
  </si>
  <si>
    <t>2. Компрессорды ауыстыру (2 бірлік)</t>
  </si>
  <si>
    <t>"Альбо" ЖШС, Алматы қаласы</t>
  </si>
  <si>
    <t>"Компрессормашремсервис" жақ қазан қаласы</t>
  </si>
  <si>
    <t xml:space="preserve">Қызылорда облысының Денсаулық сақтау басқармасы      </t>
  </si>
  <si>
    <t>"Түпқараған ОАА" ШЖҚ МКК жарықтандыруды жаңғырту, Форт-Шевченко қ., Маңғыстау облысы</t>
  </si>
  <si>
    <t>Жарықтандыруды жарықдиодты шамдарға ауыстыру</t>
  </si>
  <si>
    <t xml:space="preserve">"LED system media" ЖШС, Астана қаласы                  </t>
  </si>
  <si>
    <t>БҰҰДБ/ҒЭҚ "Қазақстандағы энерготиімді жарықтандыруды дамыту»</t>
  </si>
  <si>
    <t>"Мүгедектерге арналған оңалту орталығы" КММ жарықтандыруды жаңғырту, Қызылорда қаласы</t>
  </si>
  <si>
    <t xml:space="preserve">"LED system media" ЖШС, Астана қаласы                       </t>
  </si>
  <si>
    <t>Қызылорда облысының Денсаулық сақтау басқармасы</t>
  </si>
  <si>
    <t>Қызылорда қаласындағы "№6 қалалық емхана " ПВХ-дағы МКК жарықтандыруын жаңғырту</t>
  </si>
  <si>
    <t xml:space="preserve">"LED system media" ЖШС, Астана қаласы                      </t>
  </si>
  <si>
    <t xml:space="preserve">Маңғыстау облысының Денсаулық сақтау басқармасы   </t>
  </si>
  <si>
    <t>Ақтау қаласындағы "№2 Ақтау қалалық емханасы" ПВХ-дағы МКК жарықтандыруын жаңғырту</t>
  </si>
  <si>
    <t xml:space="preserve">"LED system media" ЖШС, Астана қаласы                     </t>
  </si>
  <si>
    <t>БҰҰДБ/ҒЭҚ "Қазақстандағы энерготиімді жарықтандыруды дамыту"</t>
  </si>
  <si>
    <t xml:space="preserve">Шығыс Қазақстан облысының білім басқармасы  </t>
  </si>
  <si>
    <t>Мүмкіндігі шектеулі балаларға арналған "Ақниет "мектеп-интернаты" КММ жарықтандыруды жаңғырту, Өскемен қаласы</t>
  </si>
  <si>
    <t>2016 жылдың қорытындысы</t>
  </si>
  <si>
    <t>Алматы энергетика және байланыс университеті "ЖШС»</t>
  </si>
  <si>
    <t>Алматы энергетика және байланыс университеті " ЖШС жарықтандыруды жаңғырту"</t>
  </si>
  <si>
    <t>"АЭжБУ" КЕАҚ фойесіндегі, дәліздері мен жатақханаларының тұрғын секцияларындағы қыздыру шамдары мен люминесцентті шырақтарды жарықдиодты шамдар мен шырақтарға ауыстыру"</t>
  </si>
  <si>
    <t>"Энергетика және байланыс орталығы" ЖШС, Алматы қ.</t>
  </si>
  <si>
    <t>"Энергетика және байланыс орталығы" ЖШС, Алматы қ. (ЭСКО)</t>
  </si>
  <si>
    <t>"Атырау облысының энергетика және тұрғын үй-коммуналдық шаруашылық басқармасы" ММ"</t>
  </si>
  <si>
    <t>Атырау облысының энергетика және тұрғын үй-коммуналдық шаруашылық басқармасы " ММ жарықтандыру жүйесін жаңғырту"</t>
  </si>
  <si>
    <t>Атыраудағы көшелерді жарықтандыру желілерін салу және пайдалану</t>
  </si>
  <si>
    <t>Батыс Энерго Транзит " ЖШС»</t>
  </si>
  <si>
    <t>Батыс Энерго Транзит " ЖШС"</t>
  </si>
  <si>
    <t>Қарыз қаражаты (МЖӘ)</t>
  </si>
  <si>
    <t>ҚАЗХРОМ "ТҰК "АҚ"</t>
  </si>
  <si>
    <t>Жаңғырту" Ақсу ферроқорытпа зауыты " - "Қазхром" ТҰК " АҚ филиалы"</t>
  </si>
  <si>
    <t>Жарықтандыру жүйесін жаңғырту</t>
  </si>
  <si>
    <t>PROLUX LED " ЖШС"</t>
  </si>
  <si>
    <t>"PROLUX LED" ЖШС (ЭСКО)</t>
  </si>
  <si>
    <t>Екібастұз қаласының тұрғын үй-коммуналдық шаруашылық, жолаушылар көлігі және автомобиль жолдары бөлімі " ММ"</t>
  </si>
  <si>
    <t xml:space="preserve">Екібастұз қаласының тұрғын үй-коммуналдық шаруашылығы, жолаушылар көлігі және автомобиль жолдары бөлімі " ММ жарықтандыру жүйесін жаңғырту" </t>
  </si>
  <si>
    <t>Көше жарығын жарықдиодты шамға ауыстыру</t>
  </si>
  <si>
    <t>Павлодар қаласының ТКШ, ЖК және АЖ бөлімі " ММ"</t>
  </si>
  <si>
    <t>Павлодар қаласының ТКШ, ЖК және АЖ бөлімі" ММ "Павлодар қаласының көшесін жарықтандыруды жаңғырту"</t>
  </si>
  <si>
    <t>"Altocom" ЖШС"</t>
  </si>
  <si>
    <t>Рахат " АҚ"</t>
  </si>
  <si>
    <t>Рахат " АҚ жарықтандыру жүйесін жаңғырту"</t>
  </si>
  <si>
    <t>Жарықтандыру аспаптарын энергия үнемдейтін аспаптарға ауыстыру</t>
  </si>
  <si>
    <t xml:space="preserve">Рахат " АҚ" </t>
  </si>
  <si>
    <t>АҚ "Аралтұз"</t>
  </si>
  <si>
    <t>Аралтұз " АҚ жарықтандыру жүйесін жаңғырту"</t>
  </si>
  <si>
    <t>Люминесцентті шамдар мен қыздыру шамдарын жарықдиодты шамдарға ауыстыру</t>
  </si>
  <si>
    <t xml:space="preserve">АҚ "Аралтұз" </t>
  </si>
  <si>
    <t>Интергаз Орталық Азия " АҚ"</t>
  </si>
  <si>
    <t>Интергаз Орталық Азия " АҚ жаңғырту"</t>
  </si>
  <si>
    <t>Бейнеу ЕАМ конденсаторлық қондырғыларын орнату</t>
  </si>
  <si>
    <t>Алтын " ЖШС"</t>
  </si>
  <si>
    <t>Алтын Дан " ЖШС жарықтандыру жүйесін жаңғырту"</t>
  </si>
  <si>
    <t>1. Офистік және цехтық жарықтандыруды Жарық диодына ауыстыру</t>
  </si>
  <si>
    <t>2.Сыртқы жарықтандыруды жарықдиодты шамдарға ауыстыру</t>
  </si>
  <si>
    <t>3. Фоторелені қолдана отырып, сыртқы жарықтандырудың Автоматты режимінде басқаруды оңтайландыру</t>
  </si>
  <si>
    <t>4. ЧРП жүйесін орталықтан тепкіш сорғыға орнату</t>
  </si>
  <si>
    <t>ЖШС "Атырау МӨЗ"</t>
  </si>
  <si>
    <t>Атырау МӨЗ " ЖШС жаңғырту"</t>
  </si>
  <si>
    <t>1.Бу желісін оқшаулау (клапандар мен құбырлар)</t>
  </si>
  <si>
    <t>2.Реактивті қуатты өтеу жөніндегі қондырғыны (РҚӨҚ) ӨДО-2 енгізу</t>
  </si>
  <si>
    <t>3.ЭЛОАУТ-3 Н-124а қондырғысының сорғысын күрделі жөндеу</t>
  </si>
  <si>
    <t>4.6-және салқындатқыш су сорғыларының жұмыс доңғалағының ішкі беті</t>
  </si>
  <si>
    <t>РУ-6 " ЖШС"</t>
  </si>
  <si>
    <t>РУ-6 " ЖШС энергия жүйесін жаңғырту"</t>
  </si>
  <si>
    <t>1. Люминесцентті шамдарды жарықдиодты шамдарға ауыстыру</t>
  </si>
  <si>
    <t>2.3 дана ТМ 630/6 күштік трансформаторларын ТМ 250/6-ға жыл сайын ауыстыру.</t>
  </si>
  <si>
    <t>Камаз-Инжиниринг " АҚ"</t>
  </si>
  <si>
    <t>Камаз-Инжиниринг " АҚ жаңғырту"</t>
  </si>
  <si>
    <t>1. Жарықтандыру жүйесін жаңғырту</t>
  </si>
  <si>
    <t>2. Реактивті қуатты өтеу қондырғысы</t>
  </si>
  <si>
    <t>ЖШС "Усть-Каменогорская ТЭЦ"</t>
  </si>
  <si>
    <t>Өскемен ЖЭО " ЖШС жаңғырту"</t>
  </si>
  <si>
    <t>Қазандық агрегатының алдыңғы және бүйір агрегаттарының қаптамасын ауыстыру</t>
  </si>
  <si>
    <t>Қазгермұнай " БК " ЖШС"</t>
  </si>
  <si>
    <t>Қазгермұнай " БК " ЖШС жаңғырту"</t>
  </si>
  <si>
    <t>Қолданыстағы шамдарды жарықдиодты шамдарға ауыстыру</t>
  </si>
  <si>
    <t>"АрселорМиттал Теміртау" АҚ"</t>
  </si>
  <si>
    <t>АрселорМиттал Теміртау " АҚ жаңғырту"</t>
  </si>
  <si>
    <t>Газ қоспасының калориметрін ГПС-2-ге орнату</t>
  </si>
  <si>
    <t>Каспий Мұнай "АҚ"</t>
  </si>
  <si>
    <t>Каспий Мұнай " АҚ жаңғырту"</t>
  </si>
  <si>
    <t>1.ЖЖЖ орнату, 3 бірлік</t>
  </si>
  <si>
    <t>2.Құбырларды оқшаулау (полиуретанды көбікпен және металл қаптамамен минватпен оқшаулау)</t>
  </si>
  <si>
    <t>Атырау жылу желілері " АҚ"</t>
  </si>
  <si>
    <t>Атырау жылу желілері " АҚ жаңғырту"</t>
  </si>
  <si>
    <t>1.Үй-жайлардағы жарықтандыру жүйелерін жөндеу</t>
  </si>
  <si>
    <t>2.СН-1-ші көтергіш желілік сорғы ғимараты мен құбыр цехының, ЖЭО-2 желілік құбырларының желілік құбырларын жылу оқшаулағышпен жабу</t>
  </si>
  <si>
    <t>АҚ "Астана-Энергия"</t>
  </si>
  <si>
    <t>Астана-Энергия " АҚ жаңғырту"</t>
  </si>
  <si>
    <t>1Үй-жайлардағы жарықтандыру жүйелерін жөндеу</t>
  </si>
  <si>
    <t>Нархоз Университеті " АҚ"</t>
  </si>
  <si>
    <t>Нархоз Университеті " АҚ жаңғырту»</t>
  </si>
  <si>
    <t>Жарықдиодты жарықтандыруды ауыстыру</t>
  </si>
  <si>
    <t>АҚ "Айдабульский спиртзавод"</t>
  </si>
  <si>
    <t>Жаңғырту-АҚ "Айдабульский спиртзавод"</t>
  </si>
  <si>
    <t>Қыздыру шамдарын жарықдиодты шамдарға ауыстыру</t>
  </si>
  <si>
    <t>АҚ "Астана-АЭК"</t>
  </si>
  <si>
    <t>Астана-АЭК " АҚ жаңғырту"</t>
  </si>
  <si>
    <t>1.Шамдарды жарықдиодты шамдарға ауыстыру</t>
  </si>
  <si>
    <t>2.Қозғалыс датчиктерін орнату</t>
  </si>
  <si>
    <t>3.Жеке сектордың ЭКЕАЖ (төменгі деңгей) есепке алу нүктелерінің</t>
  </si>
  <si>
    <t>4.МТЖ-ға ЭКЕАЖ енгізу</t>
  </si>
  <si>
    <t>Tau-Ken Temir " ЖШС"</t>
  </si>
  <si>
    <t>Tau-Ken Temir " ЖШС жаңғырту"</t>
  </si>
  <si>
    <t>1.Люминесцентті шамдарды жарықдиодты шамдарға ауыстыру</t>
  </si>
  <si>
    <t>3.CHRP орнату</t>
  </si>
  <si>
    <t>4.Терезе, есік және қақпа жылытқыштарын ауыстыру</t>
  </si>
  <si>
    <t>5.Желдету және ауа баптау жүйесін жаңғырту</t>
  </si>
  <si>
    <t>Астана-Теплотранзит " АҚ"</t>
  </si>
  <si>
    <t>Астана-Теплотранзит " АҚ Энергия үнемдеу және энергия тиімділігі жөніндегі іс-шаралар жоспарын іске асыру»</t>
  </si>
  <si>
    <t>1.№6 және 7, 2 сорғы станцияларында ЖРБ орнату</t>
  </si>
  <si>
    <t>2.Өндірістік үй-жайларда қозғалыс датчиктері бар LED-ге автоматты жарықтандыру жүйелерін орнату, 340 бірлік.</t>
  </si>
  <si>
    <t>3.ППУ құбырларын, 7142 м. п. құбырларды қолдана отырып жылу желілерін қайта жаңарту</t>
  </si>
  <si>
    <t>Астана-Теплотранзит " АҚ»</t>
  </si>
  <si>
    <t>2017 жылдың қорытындысы</t>
  </si>
  <si>
    <t>"Kagazy Recycling" ЖШС»</t>
  </si>
  <si>
    <t>"Kagazy Recycling" ЖШС кәсіпорынның жарықтандыру шамдарын энергия үнемдейтін (индукциялық және жарықдиодты) шамдарға ауыстыру)</t>
  </si>
  <si>
    <t>3.ДРЛ-125 шамдары бар шамдарды саны 9 дана шамдарды 32 Вт шамдары бар әмбебап "модульге" ауыстыру</t>
  </si>
  <si>
    <t>"Жарықтандырудың инновациялық технологиялары”</t>
  </si>
  <si>
    <t>"Жарықтың инновациялық технологиялары "(ЭСКО)</t>
  </si>
  <si>
    <t>"Парасат" ҒТО " ақ энергия тиімділігін арттыру”</t>
  </si>
  <si>
    <t>"НТК "Парасат" ААҚ"”</t>
  </si>
  <si>
    <t>1.Ішкі және сыртқы жарықтандыру жүйесін жаңғырту</t>
  </si>
  <si>
    <t>"Парасат" ҒТО " АҚ”</t>
  </si>
  <si>
    <t>ШЖҚ "Астана Су Арнасы" МКК"</t>
  </si>
  <si>
    <t>Энергия үнемдеу жөніндегі "Астана Су Арнасы" МКК жаңғырту</t>
  </si>
  <si>
    <t>1.Жарықтандыру жүйесін жаңғырту</t>
  </si>
  <si>
    <t>2.Көше жарығын жаңғырту, жарықдиодты шамдарға ауыстыру</t>
  </si>
  <si>
    <t>3.Жарықтандыруды басқарудың автоматты жүйесін енгізу</t>
  </si>
  <si>
    <t>4.0,4 кВ сорғыларды басқаруға жиілік реттегіштерін орнату (43 бірлік)</t>
  </si>
  <si>
    <t>ҚР ИСМ</t>
  </si>
  <si>
    <t>Transport tower " әкімшілік-технологиялық кешені ғимаратының жарықтандыру жүйесін жаңғырту және пайдалану"</t>
  </si>
  <si>
    <t>Сыртқы және ішкі жарықтандыру шамдарын жарықдиодты шамдарға ауыстыру; санитариялық тораптарда және темекі шегуге арналған орындарда қозғалыс датчиктерін орнату; жарықтандыру жүйесін 6 жыл бойы пайдалану.</t>
  </si>
  <si>
    <t>"LED system media" ЖШС (МЖӘ)</t>
  </si>
  <si>
    <t>Қарағанды Су " ЖШС"</t>
  </si>
  <si>
    <t>Қарағанды Су "ЖШС жаңғырту"</t>
  </si>
  <si>
    <t>2.Шамдар мен шырақтарды энергия үнемдейтін шамдарға ауыстыру;</t>
  </si>
  <si>
    <t>3.Сыртқы жарықтандыруға фотореле орнату;</t>
  </si>
  <si>
    <t>4.Қозғалыс датчиктерін орнату.</t>
  </si>
  <si>
    <t>"Өскемен құс фабрикасы" АҚ"</t>
  </si>
  <si>
    <t>Өскемен құс фабрикасы " АҚ жаңғырту"</t>
  </si>
  <si>
    <t>1.  Люминесцентті жарықтандыруды Жарық диодына ауыстыру</t>
  </si>
  <si>
    <t>2. Жарықтандыруға қозғалыс датчиктерін орнату</t>
  </si>
  <si>
    <t>3. Реактивті қуатты өтеу қондырғысы (17-ден 3)</t>
  </si>
  <si>
    <t>4. Төрт цехтан тұратын екі цехта ағынды желдеткіштің электр қозғалтқыштарындағы жетектерді ауыстыру</t>
  </si>
  <si>
    <t>АҚ "Ембімұнайгаз"</t>
  </si>
  <si>
    <t>Ембімұнайгаз " АҚ жаңғырту"</t>
  </si>
  <si>
    <t>1.CHRP орнату</t>
  </si>
  <si>
    <t>3. Мембраналық технологиялар көмегімен кәсіпорынды тұщы сумен қамтамасыз ету жөніндегі іс-шара</t>
  </si>
  <si>
    <t>4. Қуаты 3 МВт шағын ЖЭО ілеспе газды кәдеге жарату</t>
  </si>
  <si>
    <t>5. Жалпы қуаты 5 МВт шағын ЖЭО ілеспе газды кәдеге жарату</t>
  </si>
  <si>
    <t>6. Мұнай қыздыру пештерінің құбырларын жылу оқшаулау жөніндегі іс-шаралар (~10 км)</t>
  </si>
  <si>
    <t>7.  Жарықтандыру жүйесін жаңғырту</t>
  </si>
  <si>
    <t>8. ППД және ППН жүйесі сорғыларының электр қозғалтқыштары үшін жиілікті-реттелетін жетектерді енгізу</t>
  </si>
  <si>
    <t>9. Электр энергиясын бақылау мен есепке алудың автоматты жүйесін (ЭКЕАЖ) енгізу)</t>
  </si>
  <si>
    <t>АҚ "Ембімұнайгаз""</t>
  </si>
  <si>
    <t>Шымкентмай " АҚ"</t>
  </si>
  <si>
    <t>Шымкентмай " АҚ жаңғырту"</t>
  </si>
  <si>
    <t>1. Газ поршеньді генераторларды орнату-2 бірлік ((1560 кВт, 50 Гц)</t>
  </si>
  <si>
    <t>2. Суды салқындату үшін салқындатқыш пен жылу алмастырғышты орнату</t>
  </si>
  <si>
    <t>3. Қазандыққа конденсатты қайтару жүйесін орнату</t>
  </si>
  <si>
    <t>тонна (бу)</t>
  </si>
  <si>
    <t>м3 (су)</t>
  </si>
  <si>
    <t>Kagazy Recycling " ЖШС жабдықтарын жаңғырту»</t>
  </si>
  <si>
    <t>Реактивті қуатты өтеу қондырғысы</t>
  </si>
  <si>
    <t>ЖК "Саржанова Ш. у."</t>
  </si>
  <si>
    <t>Саржанова ЖК (ЭСКО)</t>
  </si>
  <si>
    <t>Алтын Дан "ЖШС"</t>
  </si>
  <si>
    <t>Алтын Дан "ЖШС жарықтандыруды жаңғырту"</t>
  </si>
  <si>
    <t>Эл бірқалыпты іске қосу құрылғыларын орнату.қозғалтқыш норий 30 кВт және 75 кВт-4 дана. / құрылғыларды орнату жиілік реттегіш орталықтан тепкіш сорғылар</t>
  </si>
  <si>
    <t>Қазатомөнеркәсіп" Инкай БК " ЖШС</t>
  </si>
  <si>
    <t>Қазатомөнеркәсіп "Инкай БК" ЖШС жарықтандыруды жаңғырту</t>
  </si>
  <si>
    <t>Жарықтандыру / май жылытқыштарын инфрақызыл жылытқыштарға ауыстыру</t>
  </si>
  <si>
    <t xml:space="preserve"> Қазатомөнеркәсіп" Инкай БК " ЖШС</t>
  </si>
  <si>
    <t>"Севказэнерго" АҚ"</t>
  </si>
  <si>
    <t>СевКазЭнерго " АҚ кәсіпорнын жаңғырту / қайта құру"</t>
  </si>
  <si>
    <t>Қазандық қондырғысының конденсатты сорғысын ауыстыру</t>
  </si>
  <si>
    <t>Жылыту құрылғысын қайта құру</t>
  </si>
  <si>
    <t>Кедентранссервис " АҚ"</t>
  </si>
  <si>
    <t>Жарықтандыруды жаңарту
Кедентранссервис " АҚ»</t>
  </si>
  <si>
    <t>Жарықтандыруды жаңарту</t>
  </si>
  <si>
    <t>"Шахтинскводоканал" ЖШС»</t>
  </si>
  <si>
    <t>"Шахтинскводоканал" ЖШС жаңғырту»</t>
  </si>
  <si>
    <t>Суық су сорғысының жиілік реттелетін жетегін (CHRP) енгізу</t>
  </si>
  <si>
    <t>Петропавл қаласының білім басқармасы</t>
  </si>
  <si>
    <t>Петропавл қаласының "№ 9 орта мектебі " ММ жаңғырту</t>
  </si>
  <si>
    <t>Әрбір жылыту аспабының алдында жылу беру аспаптарының және жылыту жүйесіне автоматты теңгерімдеу клапандарының алдында тіреулердегі шағын бөгеттерді қалпына келтіре отырып, құлайтын құбырда термореттегіштерді орнату</t>
  </si>
  <si>
    <t>Жарықтандыруды жарықдиодты шамға ауыстыру</t>
  </si>
  <si>
    <t>Петропавл қаласы білім басқармасының "№ 9 орта мектебі " ММ</t>
  </si>
  <si>
    <t>Шаңтөбе-энергокешен " ЖШС»</t>
  </si>
  <si>
    <t>Шаңтөбе-энергокешен " ЖШС жаңғырту»</t>
  </si>
  <si>
    <t>Жиілік реттегішін орнату</t>
  </si>
  <si>
    <t>Степногорск Энерготранзит " ЖШС"</t>
  </si>
  <si>
    <t>Степногорск Энерготранзит " ЖШС жаңғырту"</t>
  </si>
  <si>
    <t>Сыртқы және ішкі жарықтандыру жүйесін жаңғырту</t>
  </si>
  <si>
    <t>Жылыту аспаптарының артына жылу шағылдырғыш экрандарды орнату</t>
  </si>
  <si>
    <t>Ағаш терезелерді поливинилхлоридті материалдан жасалған шыныпакеттері бар терезелерге ауыстыру</t>
  </si>
  <si>
    <t>ХВО ғимаратында автоматтандырылған жылу пунктін орнату</t>
  </si>
  <si>
    <t>Бұқтырма цемент компаниясы " ЖШС»</t>
  </si>
  <si>
    <t>Бұқтырма цемент компаниясы " ЖШС жаңғырту»</t>
  </si>
  <si>
    <t>Жарықтандыру жүйесін жаңғырту, 0,4 кВт желісін салу, жиілік түрлендіргіштерді орнату, гидрофол бутары үй-жайында су калориферін орнату</t>
  </si>
  <si>
    <t>"Лисаковскгоркоммунэнерго" ПХО МКК"</t>
  </si>
  <si>
    <t>Лисаковскгоркоммунэнерго " ПХО МКК жаңғырту"</t>
  </si>
  <si>
    <t>Газ қазандықтарын салу</t>
  </si>
  <si>
    <t>Қазгермұнай " БК " ЖШС»</t>
  </si>
  <si>
    <t>Қазгермұнай " БК " ЖШС жарықтандыруды жаңғырту»</t>
  </si>
  <si>
    <t>МехЛитКом "ЖШС»</t>
  </si>
  <si>
    <t>МехЛитКом " ЖШС жаңғырту»</t>
  </si>
  <si>
    <t>Шамдарды энергия үнемдейтін шамдарға ауыстыру</t>
  </si>
  <si>
    <t>"Стройпромгрупп-2030" ЖШС"</t>
  </si>
  <si>
    <t>Стройпромгрупп-2030 " ЖШС жаңғырту"</t>
  </si>
  <si>
    <t>Жиілік түрлендіргіштерді электрондық поштаға орнату.қуаты 7,5 кВт қозғалтқыштар</t>
  </si>
  <si>
    <t>"Bassel Group LLS" ЖШС'</t>
  </si>
  <si>
    <t>"Bassel Group LLS" ЖШС жаңғырту</t>
  </si>
  <si>
    <t>№9 ст. турбоагрегат конденсаторының құбыр жүйесін ауыстыру</t>
  </si>
  <si>
    <t>"Bassel Group LLS" ЖШС</t>
  </si>
  <si>
    <t>ЖК Ибрай С.Н.</t>
  </si>
  <si>
    <t>Ибрай С. Н. ЖК жарақтандырылуын жаңғырту</t>
  </si>
  <si>
    <t>1 дана санында ЭКО-3 автоматикасын орнату, 1 дана санында ГУ-01 гидравликалық торабы, монтаждау, ауа-райын реттеу сервисі. Амели Кафесі</t>
  </si>
  <si>
    <t>Саны 4 дана ЭКО-3 ауа-райын реттеу автоматикасын, саны 1 дана 80 кВт-қа арналған гидротүйіршікті орнату, монтаждау және сервис. Нысан: Таксопарк Такси Народное</t>
  </si>
  <si>
    <t>АҚ "қазақ газ өңдеу зауыты"</t>
  </si>
  <si>
    <t>"Стройконструкция" АҚ жаңғырту"</t>
  </si>
  <si>
    <t>Жарық беретін аспаптарды Жарық диодына ауыстыру</t>
  </si>
  <si>
    <t>Цеснабанк "АҚ"</t>
  </si>
  <si>
    <t>Цеснабанк " АҚ жаңғырту"</t>
  </si>
  <si>
    <t>Реактивті қуатты өтеу</t>
  </si>
  <si>
    <t>АЭҮК " АҚ"</t>
  </si>
  <si>
    <t>Ақмола электржелілік үлестіру компаниясы " АҚ жаңғырту»</t>
  </si>
  <si>
    <t>Жалаңаш сымды өздігінен жүретін оқшауланған сымға ауыстыра отырып, 0,4 кВ желілерін реконструкциялау</t>
  </si>
  <si>
    <t>Алматы қ. "Алмаз" және "Байторы" ПКСК</t>
  </si>
  <si>
    <t>Алматы қ. "Алмаз" және "Байторы" ПКСК жаңғырту</t>
  </si>
  <si>
    <t>Шамдарды жарықдиодты шамдарға ауыстыру</t>
  </si>
  <si>
    <t>"Eurasia Light" ЖШС"</t>
  </si>
  <si>
    <t>"Eurasia Light "ЖШС (ЭСКО)</t>
  </si>
  <si>
    <t>"Қызылорда қаласының білім басқармасы" ММ"</t>
  </si>
  <si>
    <t>Қазандықты жаңғырту және сервистік қызмет көрсету
Қызылорда қаласының № 101 мектеп-лицейі МКК</t>
  </si>
  <si>
    <t>Қазанды Жаңғырту</t>
  </si>
  <si>
    <t>ГазСтрой компаниясы " ЖШС"</t>
  </si>
  <si>
    <t>"Компания ГазСтрой" ЖШС (МЖӘ)</t>
  </si>
  <si>
    <t>МКК "ТЕПЛОКОММУНЭНЕРГО"</t>
  </si>
  <si>
    <t>ТЕПЛОКОММУНЭНЕРГО " МКК жаңғырту"</t>
  </si>
  <si>
    <t>"Ғаббасов" қазандығының қазандары торларының жетектеріне ЖЖЖ орнату"</t>
  </si>
  <si>
    <t>"Орталық" қазандығының қазандық торларының жетектеріне ЧРП орнату"</t>
  </si>
  <si>
    <t>2018 жылдың қорытындысы</t>
  </si>
  <si>
    <t>Атырау облысы әкімдігінің энергетика және тұрғын үй-коммуналдық шаруашылық басқармасы "ММ"</t>
  </si>
  <si>
    <t>Атырау облысы әкімдігінің энергетика және тұрғын үй-коммуналдық шаруашылық басқармасы " ММ жаңғырту"</t>
  </si>
  <si>
    <t>Атырау қаласындағы көшелерді жарықтандыру жүйесін жаңғырту және салу (көшенің ұзындығы-34 620 м)"</t>
  </si>
  <si>
    <t>"Батыс Энерго Транзит" ЖШС (МЖӘ)</t>
  </si>
  <si>
    <t>Атырау қаласындағы көшелерді жарықтандыру жүйесін жаңғырту және салу (көшенің ұзындығы-198 442 м)"</t>
  </si>
  <si>
    <t>"Қызылорда облысының энергетика және тұрғын үй-коммуналдық шаруашылық басқармасы" ММ»</t>
  </si>
  <si>
    <t>Қызылорда облысының энергетика және тұрғын үй-коммуналдық шаруашылық басқармасы " ММ жаңғырту»</t>
  </si>
  <si>
    <t>"Орта мектептердің жылу жүйесін жаңғырту және сервистік қызмет көрсету№47, №127, №219, №270 Шиелі кентіндегі шкльников үйі</t>
  </si>
  <si>
    <t>ГазСтрой компаниясы " ЖШС»</t>
  </si>
  <si>
    <t>Шиелі ауданы, Шиелі кентіндегі № 47, №48, №244 орта мектептер мен "Арман" мәдениет үйінің жылу жүйесін жаңғырту және оған сервистік қызмет көрсету</t>
  </si>
  <si>
    <t>PROLUX LED " ЖШС»</t>
  </si>
  <si>
    <t>Богатырь Көмір " ЖШС жаңғырту»</t>
  </si>
  <si>
    <t>Соколов-Сарыбай тау-кен байыту өндірістік бірлестігі " АҚ жаңғырту»</t>
  </si>
  <si>
    <t>Энергияны үнемдейтін жарықдиодты шамдарды қолдана отырып, жарықтандыру жүйесін жаңарту</t>
  </si>
  <si>
    <t>"Алматы облысы әкімдігінің энергетика және тұрғын үй-коммуналдық шаруашылық басқармасы" ММ"</t>
  </si>
  <si>
    <t>Алматы облысы әкімдігінің энергетика және тұрғын үй-коммуналдық шаруашылық басқармасы " ММ"</t>
  </si>
  <si>
    <t>Көшені жарықтандыру жүйесін жаңғырту және салу</t>
  </si>
  <si>
    <t>Свет Жетысу " ЖШС"</t>
  </si>
  <si>
    <t>Свето Жетысу " ЖШС"</t>
  </si>
  <si>
    <t>Іске асыру сатысында</t>
  </si>
  <si>
    <t xml:space="preserve">Алматы облысы </t>
  </si>
  <si>
    <t xml:space="preserve">Қарағанды облысы </t>
  </si>
  <si>
    <t xml:space="preserve">Маңғыстау облысы </t>
  </si>
  <si>
    <t xml:space="preserve">Ақмола облысы </t>
  </si>
  <si>
    <t xml:space="preserve">Қостанай облысы </t>
  </si>
  <si>
    <t xml:space="preserve">Қызылорда облысы </t>
  </si>
  <si>
    <t xml:space="preserve">Жамбыл облысы </t>
  </si>
  <si>
    <t xml:space="preserve">Павлодар облысы </t>
  </si>
  <si>
    <t>тонна</t>
  </si>
  <si>
    <t>Қызылорда Электржелістік Тарату Компаниясы " АҚ»</t>
  </si>
  <si>
    <t>Қызылорда Электржелістік Тарату Компаниясы " АҚ жаңғырту»</t>
  </si>
  <si>
    <t>10/04 кВ электр желілерін жаңғырту және реконструкциялау</t>
  </si>
  <si>
    <t>"Қызылорда электр Тарату желілері Компаниясы" АҚ (өз қаражаты) ЕҚДБ-мен бірлесіп</t>
  </si>
  <si>
    <t>"Алматы облысы әкімдігінің энергетика және тұрғын үй-коммуналдық шаруашылық басқармасы" ММ""</t>
  </si>
  <si>
    <t>Алматы облысы әкімдігінің энергетика және тұрғын үй-коммуналдық шаруашылық басқармасыасы " ММ"</t>
  </si>
  <si>
    <t>"Жетісу жарысы" ЖШС (МЖӘ)</t>
  </si>
  <si>
    <t>"Алматы облысы әкімдігінің энергетика және тұрғын үй-коммуналдық шаруашылық басқармасы" ММ Ескелді ауданының көше жарықтандыру желілерін қайта жаңарту және олардың сенімгерлік құрылысы басқару""</t>
  </si>
  <si>
    <t>Алматы облысы әкімдігінің энергетика және тұрғын үй-коммуналдық шаруашылық басқармасы" ММ"</t>
  </si>
  <si>
    <t>Қапшағай қаласының көшені жарықтандыру жүйесін жаңғырту және салу</t>
  </si>
  <si>
    <t>87696 кВтсағ</t>
  </si>
  <si>
    <t>136018 кВтсағ</t>
  </si>
  <si>
    <t>333337 кВтсағ</t>
  </si>
  <si>
    <t>170407 кВтсағ</t>
  </si>
  <si>
    <t>Текелі қаласының көшесін жарықтандыру жүйесін жаңғырту және салу</t>
  </si>
  <si>
    <t>Талдықорған қаласының көшелерін жарықтандыру жүйесін жаңғырту және салу</t>
  </si>
  <si>
    <t>Федоров ауылдық округі әкімінің аппараты ММ"</t>
  </si>
  <si>
    <t>Федоров ауылдық округі әкімінің аппараты " ММ жаңғырту"</t>
  </si>
  <si>
    <t>Көшені жарықтандыру жүйесін жаңғырту</t>
  </si>
  <si>
    <t>ЖШС "Адал-И"</t>
  </si>
  <si>
    <t>"Адал-И" ЖШС (МЖӘ)</t>
  </si>
  <si>
    <t>Қызылорда облысының энергетика және тұрғын үй-коммуналдық шаруашылық басқармасы ММ "Арал қаласындағы аудандық жұмыспен қамту, әлеуметтік бағдарламалар және азаматтық хал актілерін тіркеу бөлімінің ғимараты мен мәдениет үйінің қазандығын қайта жаңарту"»</t>
  </si>
  <si>
    <t>Жылыту жүйелерін жаңғырту және сервистік қызмет көрсету</t>
  </si>
  <si>
    <t>м3 (кезінде.газ)</t>
  </si>
  <si>
    <t>Қызылорда облысының энергетика және тұрғын үй-коммуналдық шаруашылық басқармасы ММ "Арал қаласындағы №62, №220 орта мектептердің қазандығын реконструкциялау"»</t>
  </si>
  <si>
    <t>CASPI BITUM"БК" ЖШС»</t>
  </si>
  <si>
    <t>CASPI BITUM"БК" ЖШС жаңғырту»</t>
  </si>
  <si>
    <t>"CASPI BITUM" БК " ЖШС (өз қаражаты)</t>
  </si>
  <si>
    <t>Құлсары қаласында көшені жарықтандыру жүйесін жаңғырту және салу (көшенің ұзындығы - 68 368 метр)"</t>
  </si>
  <si>
    <t>Атындағы Қостанай инженерлік-экономикалық университеті. М. Дулатов</t>
  </si>
  <si>
    <t>Жылумен жабдықтау жүйесін жаңғырту Қостанай инженерлік-экономикалық университеті М. Дулатов</t>
  </si>
  <si>
    <t>Жылыту қажеттіліктеріне жылу энергиясын беруді автоматты реттеу жүйесін орнату</t>
  </si>
  <si>
    <t>"Экосервис-2030" ЖШС»</t>
  </si>
  <si>
    <t>"Экосервис-2030" ЖШС (ЭСКО)</t>
  </si>
  <si>
    <t>Алматы қаласы энерготиімділік және инфрақұрылымдық даму басқармасы "КММ»</t>
  </si>
  <si>
    <t>Алматы қаласының энергия тиімділігі және инфрақұрылымдық даму басқармасы " КММ жаңғырту»</t>
  </si>
  <si>
    <t>Алматы қаласының көшені жарықтандыру жүйесін жаңғырту</t>
  </si>
  <si>
    <t>Электр жөндеу " ЖШС»</t>
  </si>
  <si>
    <t>"Электр жөндеу" ЖШС (МЖӘ)</t>
  </si>
  <si>
    <t>СҚО Денсаулық сақтау басқармасы</t>
  </si>
  <si>
    <t>Солтүстік Қазақстан облысының "Мамлют орталық аудандық ауруханасы" ШЖҚ КМК жаңғырту</t>
  </si>
  <si>
    <t>Автономды қазандықты жаңғырту, басқару және пайдалану</t>
  </si>
  <si>
    <t>ЖШС "Сапро-НАТ»</t>
  </si>
  <si>
    <t>"Сапро-НАТ" ЖШС (МЖӘ)</t>
  </si>
  <si>
    <t>Қостанай облысының білім басқармасы</t>
  </si>
  <si>
    <t>Сарыкөл ауданының 18 мектебінің қазандықтарын, оның ішінде "Қостанай жылу тарату компаниясы" ЖШС 8 орта мектебінде блокты-модульді қазандықтарды орната және пайдалана отырып сенімгерлік басқаруға беру»</t>
  </si>
  <si>
    <t>"Қостанай жылу тарату компаниясы" ЖШС»</t>
  </si>
  <si>
    <t>"Қостанай жылу тарату компаниясы" ЖШС (МЖӘ)</t>
  </si>
  <si>
    <t>Қостанай облысы Қарабалық ауданы әкімдігінің білім бөлімінің Михайлов орта мектебі ММ "Қостанай Стройтеплокотл Сервис" ЖШС қазандығының құрылысы»</t>
  </si>
  <si>
    <t>Жылыту жүйелерін жаңғырту және салу</t>
  </si>
  <si>
    <t>"Қостанай Стройтеплокотл Сервис" ЖШС»</t>
  </si>
  <si>
    <t>"Қостанай Стройтеплокотл Сервис" ЖШС (МЖӘ)</t>
  </si>
  <si>
    <t xml:space="preserve"> Павлодар облысының энергетика және тұрғын үй-коммуналдық шаруашылық басқармасы " ММ»</t>
  </si>
  <si>
    <t>Павлодар облысының энергетика және тұрғын үй-коммуналдық шаруашылық басқармасы ММ" Железин ауданының Абай ООШ ММ жаңғырту»</t>
  </si>
  <si>
    <t>ЖШС "САПРО-НАТ"</t>
  </si>
  <si>
    <t>Павлодар облысының энергетика және тұрғын үй-коммуналдық шаруашылық басқармасы "ММ Железин ауданының Алакөл ООШ ММ жаңғырту»</t>
  </si>
  <si>
    <t>Павлодар облысының энергетика және тұрғын үй-коммуналдық шаруашылық басқармасы " ММ»</t>
  </si>
  <si>
    <t>Павлодар облысының энергетика және тұрғын үй-коммуналдық шаруашылық басқармасы ММ" Железин ауданының Березовка ООШ " ММ жаңғырту»</t>
  </si>
  <si>
    <t>Павлодар облысының энергетика және тұрғын үй-коммуналдық шаруашылық басқармасы ММ" Железин ауданының Буденовка ООШ " ММ жаңғырту»</t>
  </si>
  <si>
    <t>Павлодар облысының энергетика және тұрғын үй-коммуналдық шаруашылық басқармасы ММ" Екишок негізгі жалпы білім беретін мектебі " ММ жаңғырту»</t>
  </si>
  <si>
    <t>Павлодар облысының энергетика және тұрғын үй-коммуналдық шаруашылық басқармасы ММ "Железин ауданының Веселорощин ОМ" мм жаңғырту»</t>
  </si>
  <si>
    <t>Павлодар облысының энергетика және тұрғын үй-коммуналдық шаруашылық басқармасы ММ "Железин ауданының Еңбекші ЖОМ" ММ жаңғырту»</t>
  </si>
  <si>
    <t>ЖШС "САПРО-НАТ</t>
  </si>
  <si>
    <t>Павлодар облысының энергетика және тұрғын үй-коммуналдық шаруашылық басқармасы ММ "Железин ауданының Есқара ЖОМ" ММ жаңғырту»</t>
  </si>
  <si>
    <t>Павлодар облысының энергетика және тұрғын үй-коммуналдық шаруашылық басқармасы ММ "Железин ауданының Жолтаптық ООШ" ММ жаңғырту»</t>
  </si>
  <si>
    <t>Павлодар облысының энергетика және тұрғын үй-коммуналдық шаруашылық басқармасы ММ "Железин ауданының Захаров ООШ" ММ жаңғырту»</t>
  </si>
  <si>
    <t>Павлодар облысының энергетика және тұрғын үй-коммуналдық шаруашылық басқармасы ММ "Железин ауданының Красновская НШ" ММ жаңғырту»</t>
  </si>
  <si>
    <t>Павлодар облысының энергетика және тұрғын үй-коммуналдық шаруашылық басқармасы ММ" Железин ауданының Крупская ООШ " ММ жаңғырту»</t>
  </si>
  <si>
    <t>Павлодар облысының энергетика және тұрғын үй-коммуналдық шаруашылық басқармасы ММ "Железин ауданының орман ЖОМ" ММ жаңғырту»</t>
  </si>
  <si>
    <t>Павлодар облысының энергетика және тұрғын үй-коммуналдық шаруашылық басқармасы ММ "Железин ауданының Мойсеев ООШ" ММ жаңғырту»</t>
  </si>
  <si>
    <t>Павлодар облысының энергетика және тұрғын үй-коммуналдық шаруашылық басқармасы ММ" Железин ауданының Озерная ООШ " ММ жаңғырту»</t>
  </si>
  <si>
    <t>Павлодар облысының энергетика және тұрғын үй-коммуналдық шаруашылық басқармасы ММ "Железин ауданының Жаңа жұлдыз ЖББОМ" ММ жаңғырту»</t>
  </si>
  <si>
    <t>Павлодар облысының энергетика және тұрғын үй-коммуналдық шаруашылық басқармасы ММ "Железин ауданының бестік ЖББМ" ММ жаңғырту»</t>
  </si>
  <si>
    <t>Павлодар облысының энергетика және тұрғын үй-коммуналдық шаруашылық басқармасы ММ" Ақтоғай ауданының Шолақсор ЖОМ "ММ жаңғырту»</t>
  </si>
  <si>
    <t>Павлодар облысының энергетика және тұрғын үй-коммуналдық шаруашылық басқармасы "ММ Железин ауданының Береговое ООШ ММ жаңғырту»</t>
  </si>
  <si>
    <t>Павлодар облысының энергетика және тұрғын үй-коммуналдық шаруашылық басқармасы ММ "Железин ауданының Башмачиснка ЖОМ" ММ жаңғырту»</t>
  </si>
  <si>
    <t>Павлодар облысының энергетика және тұрғын үй-коммуналдық шаруашылық басқармасы ММ "Железин ауданының Кузьма ООШ" ММ жаңғырту»</t>
  </si>
  <si>
    <t>Павлодар облысының энергетика және тұрғын үй-коммуналдық шаруашылық басқармасы ММ" Железин ауданының Михайловка ЖББОМ "ММ жаңғырту»</t>
  </si>
  <si>
    <t>"Түркістан облысының энергетика және тұрғын үй-коммуналдық шаруашылық басқармасы" ММ"</t>
  </si>
  <si>
    <t>Түркістан облысы Арыс қаласының көше жарығын жаңғырту және пайдалану</t>
  </si>
  <si>
    <t>Арыс қаласының көше жарығын жаңғырту және пайдалану</t>
  </si>
  <si>
    <t>"Сервис-Сервис-Арыс" ЖШС"</t>
  </si>
  <si>
    <t>"Қызмет-Сервис-Арыс" ЖШС (МЖӘ)</t>
  </si>
  <si>
    <t>Түркістан облысы, Созақ ауданының көше жарығын жаңғырту және пайдалану</t>
  </si>
  <si>
    <t>Созақ ауданының көше жарығын жаңғырту және пайдалану</t>
  </si>
  <si>
    <t>"Arlan-Stroy" ЖШС"</t>
  </si>
  <si>
    <t>"Arlan-Stroy" ЖШС (МЖӘ)</t>
  </si>
  <si>
    <t xml:space="preserve"> "Қостанай облысының энергетика және тұрғын үй-коммуналдық шаруашылық басқармасы" ММ»</t>
  </si>
  <si>
    <t>"Агромашхолдинг" АҚ"</t>
  </si>
  <si>
    <t>Жалпы пайдалану орындарында жарықтандыруды автоматтандыру</t>
  </si>
  <si>
    <t>Технологиялық желілер бойынша жарықтандыруды автоматтандыру</t>
  </si>
  <si>
    <t>250КВТ электр қозғалтқыштарына CHRP Altivar 61, 90-630/380-480b орнату</t>
  </si>
  <si>
    <t>Жылыту жүйесінің құбырларын үнемі тазарту және Су дайындау</t>
  </si>
  <si>
    <t>Жылу шағылыстырғыш экрандарды орнату</t>
  </si>
  <si>
    <t>"Агромашхолдинг "АҚ (өз қаражаты)</t>
  </si>
  <si>
    <t>2019 жылдың қорытындысы</t>
  </si>
  <si>
    <t>ШҚО энергетика және ТКШ басқармасы " ММ"</t>
  </si>
  <si>
    <t>Өскемен қаласында көше жарығын жаңғырту</t>
  </si>
  <si>
    <t>Көше жарығын жаңғырту</t>
  </si>
  <si>
    <t>Everlight Electronics Co. (Тайвань)</t>
  </si>
  <si>
    <t>Семей қаласында көшені жарықтандыруды жаңғырту</t>
  </si>
  <si>
    <t>Қостанай минералдары " АҚ»</t>
  </si>
  <si>
    <t>Автоматтандырылған жылу пунктін орнату</t>
  </si>
  <si>
    <t>"Авангард 7" ЖШС"</t>
  </si>
  <si>
    <t>ЖШС "Тарбағатай Мұнай"</t>
  </si>
  <si>
    <t>Мвтс</t>
  </si>
  <si>
    <t>Степногорск энерготранзит " ЖШС"</t>
  </si>
  <si>
    <t>Ішкі және сыртқы жарықтандыру жүйесін жаңғырту</t>
  </si>
  <si>
    <t>ХВО ғимаратында АЖБ орнату</t>
  </si>
  <si>
    <t>"Джей Ти Ай Казахстан" ЖШС"</t>
  </si>
  <si>
    <t>Қазақстан алюминийі " АҚ"</t>
  </si>
  <si>
    <t>Қозғалыс сенсорлары үшін жарықдиодты шамдарды қолдану</t>
  </si>
  <si>
    <t>Екібастұз ГРЭС-1 "ЖШС"</t>
  </si>
  <si>
    <t>Энергия үнемдейтін шамдарды орнату</t>
  </si>
  <si>
    <t>Энергия үнемдейтін шамдарды орнату (сыртқы жарықтандыру)</t>
  </si>
  <si>
    <t>Энергия үнемдейтін шамдарды орнату (ішкі жарықтандыру)</t>
  </si>
  <si>
    <t>"Жамбыл облысы әкімдігінің энергетика және ТКШ басқармасы" ММ"</t>
  </si>
  <si>
    <t>Тараз қаласының сыртқы жарықтандыру жүйесін жаңғырту және сенімді басқару</t>
  </si>
  <si>
    <t>ЖШС Alto com Asia</t>
  </si>
  <si>
    <t>МЖӘ</t>
  </si>
  <si>
    <t>Кенттегі амбулаториялық-емханалық қызметі бар Арал аудандық мұрағаты мен Каслин орталық аудандық ауруханасының жылыту жүйесін жаңғырту және сервистік қызмет көрсету Айтеке би</t>
  </si>
  <si>
    <t>Нысанды газдандыру және қазандықты газға ауыстыру</t>
  </si>
  <si>
    <t xml:space="preserve">Арал индустриялық-техникалық колледжі мен Арал қаласындағы облыстық № 2 санаторлық мектеп-интернатының жылу жүйесін жаңғырту және сервистік қызмет көрсету
</t>
  </si>
  <si>
    <t>Жаңақорған ауданы әкімі аппаратының әкімшілік ғимараты мен Жаңақорған аграрлық-техникалық колледжінің жылу жүйесін жаңғырту және сервистік қызмет көрсету</t>
  </si>
  <si>
    <t>Жаңақорған кентіндегі және Жаңақорған аудандық мұрағатының амбулаториялық-емханалық қызметі бар Жаңақорған аудандық орталық ауруханасының жылыту жүйесін жаңғырту және сервистік қызмет көрсету</t>
  </si>
  <si>
    <t>Шиелі аудандық мұрағатының және Шиелі кентіндегі амбулаториялық-емханалық қызметі бар Шиелі аудандық орталық ауруханасының жылыту жүйесін жаңғырту және оған сервистік қызмет көрсету</t>
  </si>
  <si>
    <t xml:space="preserve">Қызылорда қаласында арнайы медициналық жабдықтау базасын жылыту жүйесін жаңғырту және сервистік қызмет көрсету
</t>
  </si>
  <si>
    <t xml:space="preserve">Жарықдиодты шамдарды қолдана отырып жарықтандыру жүйесін жаңарту
</t>
  </si>
  <si>
    <t>"ПКФ" Ультра-Электро " ЖШС"</t>
  </si>
  <si>
    <t xml:space="preserve">Ультра-Электро " ПКФ ЖШС өндірістік базасын көше жарықтандыруын жаңғырту"
</t>
  </si>
  <si>
    <t>ДБ гранттық қаражаты</t>
  </si>
  <si>
    <t>"Соколов-Сарыбай тау-кен байыту бірлестігі" АҚ""</t>
  </si>
  <si>
    <t>"Женский луч" ҚБ</t>
  </si>
  <si>
    <t>АЖБ жүйесін орнату және энергия үнемдеу үшін жылу жүйесін теңгеру</t>
  </si>
  <si>
    <t xml:space="preserve">АЖБ жүйесін орнату және жылыту жүйесін теңгеру </t>
  </si>
  <si>
    <t>Жетіқара ауданы Жетіқара қаласы әкімінің аппараты ММ</t>
  </si>
  <si>
    <t xml:space="preserve">Жетіқара қаласының көшелері бойынша көше жарығын ағымдағы жөндеу </t>
  </si>
  <si>
    <t>Көше жарығын ағымдағы жөндеу</t>
  </si>
  <si>
    <t>Жетіқара ауданы Жетіқара қаласы әкімінің аппараты ММа</t>
  </si>
  <si>
    <t>Приозерск қаласының ТКШ, жолаушылар көлігі және автомобиль жолдары және тұрғын үй инспекциясы бөлімі ММ</t>
  </si>
  <si>
    <t>Қарағанды облысының Приозерск қаласындағы көше жарығын жаңғырту</t>
  </si>
  <si>
    <t>Қаланың көше жарығын жаңғырту</t>
  </si>
  <si>
    <t>Қостанай ауданы Тобыл  қаласы әкімінің аппараты ММ</t>
  </si>
  <si>
    <t>Қостанай ауданы Тобыл қаласының әкімінің аппараты ММ</t>
  </si>
  <si>
    <t>СҚО әкімдігінің энергетика және ТКШ басқармасы " КММ</t>
  </si>
  <si>
    <t>Солтүстік Қазақстан облысының Петропавл қаласында көше жарығын жаңғырту</t>
  </si>
  <si>
    <t>Петропавл қаласында көше жарығын жаңғырту</t>
  </si>
  <si>
    <t>Mega LTD ЖШС</t>
  </si>
  <si>
    <t>Севказэнерго " АҚ кәсіпорнын жаңғырту және қайта құру"</t>
  </si>
  <si>
    <t>ЖҰШ ауыстыру-500-3-23 № 1 ТА-7</t>
  </si>
  <si>
    <t>ЖҰШ ауыстыру-500-3-23 №2 ТА-7</t>
  </si>
  <si>
    <t>ҚазАзот АҚ зауытының аммиак ПАМ өндірісі цехының жарықтандыру жүйесін жаңғырту"</t>
  </si>
  <si>
    <t>3гт трансформаторды ауыстыру (толық жұмыс істемеуге жол бермеу)</t>
  </si>
  <si>
    <t>ШЖҚ МКК ОАА. Мусрепова, с. Новоишимское</t>
  </si>
  <si>
    <t>Новоишимское ауылындағы ШЖҚ МКК ОАА жарықтандыруды жаңғырту</t>
  </si>
  <si>
    <t>Шамдарды жарықдиодты жарықтандыруға ауыстыру</t>
  </si>
  <si>
    <t>СтройсервисКонтракшн " ЖШС»</t>
  </si>
  <si>
    <t>Чистополье ауылындағы ОАА ШЖҚ МКК жарықтандыруды жаңғырту</t>
  </si>
  <si>
    <t>ЖШС "КазСтройПроект»</t>
  </si>
  <si>
    <t xml:space="preserve"> Ақмола облысының білім басқармасы</t>
  </si>
  <si>
    <t>Ақмола облысы Білім басқармасының Ақкөл ауданы Урюпинка ауылындағы "балабақша-мектеп-интернат "арнайы кешені" КММ энергия тиімділігін арттыру</t>
  </si>
  <si>
    <t>Ескірген қазандықтарды энергия тиімді қазандықтарға ауыстыру</t>
  </si>
  <si>
    <t>ЖШС "Электросетьстрой"</t>
  </si>
  <si>
    <t>ҚазАзот " АҚ"</t>
  </si>
  <si>
    <t>Қарағанды облысы Приозерск қаласы әкімдігінің жанындағы "Тұрғын үй-коммуналдық реформалау" КМК</t>
  </si>
  <si>
    <t>Қарағанды облысы Приозерск қаласының жылу желілерін ағымдағы жөндеу</t>
  </si>
  <si>
    <t>Фудмастер "компаниясы" АҚ"</t>
  </si>
  <si>
    <t>Фудмастер "компаниясы" АҚ жарықтандыру жүйесін жаңғырту"</t>
  </si>
  <si>
    <t>Жарықдиодты флуоресцентті Шамдарды ауыстыру</t>
  </si>
  <si>
    <t>"Ақмола облысының энергетика және ТКШ басқармасы" ММ"</t>
  </si>
  <si>
    <t>Ақмола облысының Көкшетау және Щучинск қалаларында көшені жарықтандыру желілерін жаңғырту және пайдалану</t>
  </si>
  <si>
    <t>Ескірген шамдарды жарықдиодты шамдарға ауыстыру</t>
  </si>
  <si>
    <t>КазТехникс " ЖШС»</t>
  </si>
  <si>
    <t>2020 жылдың қорытындысы</t>
  </si>
  <si>
    <t>"ЖББОМ" ММ жаңғырту. Павлодар облысының энергетика және тұрғын үй-коммуналдық шаруашылық басқармасы " ММ»</t>
  </si>
  <si>
    <t>Павлодар облысының энергетика және тұрғын үй-коммуналдық шаруашылық басқармасы ММ" Железин ауданының Славянская ООШ "ММ жаңғырту»</t>
  </si>
  <si>
    <t xml:space="preserve">Шиелі кентіндегі Шиелі индустриалды-аграрлық колледжі мен облыстық балаларды оңалту орталығының жылу жүйесін жаңғырту және оған сервистік қызмет көрсету
</t>
  </si>
  <si>
    <t>Доверительное управление с элементами ЭСКО</t>
  </si>
  <si>
    <t>Доверительное управление с элементами ЭСКО (софинансирование 737,5 бюджетные средства; 2212,5 ЕБРР)</t>
  </si>
  <si>
    <t>Доверительное управление с элементами ЭСКО (софинансирование 462,5 бюджетные средства; 1387,5 ЕБРР)</t>
  </si>
  <si>
    <t>ЭСКО элементтерімен сенімгерлік басқару</t>
  </si>
  <si>
    <t>ЭСКО элементтерімен сенімгерлік басқару (қоса қаржыландыру 737,5 бюджет қаражаты; 2212,5 ЕҚДБ)</t>
  </si>
  <si>
    <t>ЭСКО элементтерімен сенімгерлік басқару (қоса қаржыландыру 462,5 бюджет қаражаты; 1387,5 ЕҚДБ)</t>
  </si>
  <si>
    <t>ТОО «Богатырь Комир»</t>
  </si>
  <si>
    <t>АО «Соколовско-Сарбайское горно-обогатильное производственное Объединение»</t>
  </si>
  <si>
    <t>Проверка</t>
  </si>
  <si>
    <t>завершено</t>
  </si>
  <si>
    <t>на с/р</t>
  </si>
  <si>
    <t>Итого</t>
  </si>
  <si>
    <t>ГУ «Отдел энергетики и жилищно-коммунального хозяйства города Уральска»</t>
  </si>
  <si>
    <t>Модернизация уличного освещения города Уральска</t>
  </si>
  <si>
    <t>ТОО «КазТахникас»</t>
  </si>
  <si>
    <t>Западно-Казахстанская область</t>
  </si>
  <si>
    <t>«Строительство и эксплуатация сетей уличного освещения в городе Атырау (протяженностью – 148 525 метра)»</t>
  </si>
  <si>
    <t>Модернизация уличного освещения города Атырау</t>
  </si>
  <si>
    <t>Атырауская область</t>
  </si>
  <si>
    <t>ГУ «Отдел энергетики и жилищно-коммунального хозяйства города Жетисай»</t>
  </si>
  <si>
    <t>Модернизация уличного освещения города Жетисай</t>
  </si>
  <si>
    <t>ТОО "Асаназ-Дар"</t>
  </si>
  <si>
    <t>Туркестанская область</t>
  </si>
  <si>
    <t>ГУ «Аппарат акима города Ленгер, Толебиского района»</t>
  </si>
  <si>
    <t>Модернизация уличного освещения города Ленгер</t>
  </si>
  <si>
    <t>ГУ «Отдел энергетики и жилищно-коммунального хозяйства города Лисоковска»</t>
  </si>
  <si>
    <t>Модернизация уличного освещения города Лисаковск</t>
  </si>
  <si>
    <t>ГУ «Аппарат акима города Аксай»</t>
  </si>
  <si>
    <t>Модернизация уличного освещения города Аксай</t>
  </si>
  <si>
    <t>ТОО "Мега-ЛТД"</t>
  </si>
  <si>
    <t>ГУ «Отдел энергетики и жилищно-коммунального хозяйства города Сарань»</t>
  </si>
  <si>
    <t>Модернизация уличного освещения города Сарань</t>
  </si>
  <si>
    <t>Строительство, реконструкция и эксплуатация наружного освещения города Шымкент</t>
  </si>
  <si>
    <t>Модернизация уличного освещения города Шымкента</t>
  </si>
  <si>
    <t>ТОО «ABM Building 2007»</t>
  </si>
  <si>
    <t>г. Шымкент</t>
  </si>
  <si>
    <t>ИТОГИ за 2021 год</t>
  </si>
  <si>
    <t>2021 жылдың қорытындысы</t>
  </si>
  <si>
    <t>«КазТахникас» ЖШС</t>
  </si>
  <si>
    <t>«Батыс Энерго Транзит» ЖШС</t>
  </si>
  <si>
    <t>"Асаназ-Дар" ЖШС</t>
  </si>
  <si>
    <t>"Электросетьстрой" ЖШС</t>
  </si>
  <si>
    <t>"Мега-ЛТД" ЖШС</t>
  </si>
  <si>
    <t>«ABM Building 2007» ЖШС</t>
  </si>
  <si>
    <t>"Орал қаласының ТКШ, жолаушылар көлігі және автомобиль жолдары және тұрғын үй инспекциясы бөлімі" ММ</t>
  </si>
  <si>
    <t>"Жетісай қаласының ТКШ, жолаушылар көлігі және автомобиль жолдары және тұрғын үй инспекциясы бөлімі" ММ</t>
  </si>
  <si>
    <t>"Ленгер қаласының әуімдік аппараты" ММ</t>
  </si>
  <si>
    <t>"Лисаковск қаласының ТКШ, жолаушылар көлігі және автомобиль жолдары және тұрғын үй инспекциясы бөлімі" ММ</t>
  </si>
  <si>
    <t>"Ақсай қаласының әуімдік аппараты" ММ</t>
  </si>
  <si>
    <t>"Саран қаласының ТКШ, жолаушылар көлігі және автомобиль жолдары және тұрғын үй инспекциясы бөлімі" ММ</t>
  </si>
  <si>
    <t>ГУ «Управления энергетики и жилищно-коммунального хозяйства города Шымкент»</t>
  </si>
  <si>
    <t>"Шымкент қаласының ТКШ, жолаушылар көлігі және автомобиль жолдары және тұрғын үй инспекциясы басқармасы" ММ</t>
  </si>
  <si>
    <t>Орал қаласының көшесін жарықтандыруды жаңғырту</t>
  </si>
  <si>
    <t>Атырау қаласында көше жарықтандыру желілерін салу және пайдалану (ұзындығы-148 525 метр)</t>
  </si>
  <si>
    <t>Жетісай қаласының көшесін жарықтандыруды жаңғырту</t>
  </si>
  <si>
    <t>Ленгер қаласының көшесін жарықтандыруды жаңғырту</t>
  </si>
  <si>
    <t>Лисаковск қаласының көшесін жарықтандыруды жаңғырту</t>
  </si>
  <si>
    <t>Ақсай қаласының көшесін жарықтандыруды жаңғырту</t>
  </si>
  <si>
    <t>Саран қаласының көшесін жарықтандыруды жаңғырту</t>
  </si>
  <si>
    <t>Шымкент қаласының көшесін жарықтандыруды жаңғырту</t>
  </si>
  <si>
    <t xml:space="preserve">Атырау облысы </t>
  </si>
  <si>
    <t xml:space="preserve">Түркістан облысы </t>
  </si>
  <si>
    <t>АО «Международный аэропорт Алматы»</t>
  </si>
  <si>
    <t>Модернизация системы уличного и внутреннего освещения международного аэропорта Алматы на энергоэффективное светодиодное оборудование</t>
  </si>
  <si>
    <t>кВтч</t>
  </si>
  <si>
    <t>ТОО «OST ASIA»</t>
  </si>
  <si>
    <t>СС</t>
  </si>
  <si>
    <t>г. Нур-Султан</t>
  </si>
  <si>
    <t>Реализуется</t>
  </si>
  <si>
    <t>«Модернизация уличного освещения в городе Темиртау»</t>
  </si>
  <si>
    <t>Модернизация уличного освещения города Темиртау</t>
  </si>
  <si>
    <t>ТОО "Кызылорда - ЭлектроСеть Строй"</t>
  </si>
  <si>
    <t>«Модернизация уличного освещения в городе Риддер»</t>
  </si>
  <si>
    <t>Модернизация уличного освещения города Риддер</t>
  </si>
  <si>
    <t>ГУ «Тупкараганский районный отдел и жилищно-коммунального хозяйства, пассажирского транспорта и автомобильных дорог»</t>
  </si>
  <si>
    <t>Модернизация уличного освещения улиц города Форт - Шевченко</t>
  </si>
  <si>
    <t>ТОО "Асанас - Дар"</t>
  </si>
  <si>
    <t>Отызбаева</t>
  </si>
  <si>
    <t>Малыбай</t>
  </si>
  <si>
    <t>Попов</t>
  </si>
  <si>
    <t>ГУ «Отдел жилищно – коммунального хозяйства, пассажирского транспорта и автомобильных дорог и жилищной инспекции акимата города Аркалык»</t>
  </si>
  <si>
    <t>«Модернизация уличного освещения в городе Аркалык»</t>
  </si>
  <si>
    <t>Модернизация уличного освещения города Аркалык</t>
  </si>
  <si>
    <t>ТОО "Берсугир"</t>
  </si>
  <si>
    <t>ГУ «Отдел жилищно – коммунального хозяйства, пассажирского транспорта и автомобильных дорог города Сатпаев»</t>
  </si>
  <si>
    <t>«Модернизация уличного освещения в городе Сатпаев»</t>
  </si>
  <si>
    <t>Модернизация уличного освещения города Сатпаев</t>
  </si>
  <si>
    <t>Мероприятия по замене источников света бригады №1 на энергоэффективные</t>
  </si>
  <si>
    <t>Мероприятия по замене источников света бригады №2 на энергоэффективные</t>
  </si>
  <si>
    <t>Мероприятия по замене источников света бригады №4 на энергоэффективные</t>
  </si>
  <si>
    <t>Мероприятия по замене источников света бригады №5 на энергоэффективные</t>
  </si>
  <si>
    <t>Мероприятия по замене источников света бригады №6 на энергоэффективные</t>
  </si>
  <si>
    <t>Мероприятия по замене источников света бригады №7 на энергоэффективные</t>
  </si>
  <si>
    <t>Мероприятия по замене источников света помещений территорий Промзоны на энергоэффективные</t>
  </si>
  <si>
    <t>Мероприятия по замене источников света помещений территорий УПЦ на энергоэффективные</t>
  </si>
  <si>
    <t>АО "Алатау-Кус"</t>
  </si>
  <si>
    <t>Энергосбережение и повышение энергоэффективности с применением современных технологий</t>
  </si>
  <si>
    <t>"Соколов-Сарыбай кен байыту өндiрiстiк бiрлестiгi" </t>
  </si>
  <si>
    <t>Алматы қаласы</t>
  </si>
  <si>
    <t>ТОО "Гостиница Целинная"</t>
  </si>
  <si>
    <t>Модернизация комплекса и котельной системы</t>
  </si>
  <si>
    <t>Модернизация системы отопления</t>
  </si>
  <si>
    <t>Мангыстауская область</t>
  </si>
  <si>
    <t>Актюбинская область</t>
  </si>
  <si>
    <t>ТОО "Актюбинская медная компания"</t>
  </si>
  <si>
    <t>«Модернизация систем освещения»</t>
  </si>
  <si>
    <t xml:space="preserve">Замена люминесцентных ламп на светодиодные </t>
  </si>
  <si>
    <t>Ақтөбе облысы</t>
  </si>
  <si>
    <t>Мероприятия по энергосбережению и повышению энергоэффективности АО Мангистаумунайгаз"</t>
  </si>
  <si>
    <t xml:space="preserve">Замена светильников наружного и внутреннего освещения на светодиодные </t>
  </si>
  <si>
    <t>Замена ламп на светодиодные</t>
  </si>
  <si>
    <t>Замена поршневых насосов типа НБ-125 с электродвигаетлями 55-75 кВт на один центробежный насос ЦНС-105-147 с электродвигаетелем 110 кВт на ГУ на м/р "Каламкас"</t>
  </si>
  <si>
    <t>АО "Мангистаумунайгаз"</t>
  </si>
  <si>
    <t xml:space="preserve">Модернизация системы освещения с использованием энергоэффективных LED  светильников
</t>
  </si>
  <si>
    <t>Модернизация системы освещения с использованием энергоэффективных LED светильников в АО "Соколовско - Сарбайское горно-обогатительное производственное Объединение"</t>
  </si>
  <si>
    <t>Модернизация системы освещения АО «Рахат»</t>
  </si>
  <si>
    <t>Серикжан</t>
  </si>
  <si>
    <t>ТОО "ПИКО"</t>
  </si>
  <si>
    <t>Замена светильников и термоизоляции</t>
  </si>
  <si>
    <t>Энергосбережение и повышение энергоэффективности на предприятии ТОО "Темирбетон-1"</t>
  </si>
  <si>
    <t>Перевод автотранспорта на газовое топливо</t>
  </si>
  <si>
    <t>Замена всех ламп освещения ДРЛ на светодиодные лампы СД</t>
  </si>
  <si>
    <t>511 90</t>
  </si>
  <si>
    <t>15 05</t>
  </si>
  <si>
    <t>кВт*ч</t>
  </si>
  <si>
    <t>ГУ «Отдел энергетики и жилищно-коммунального хозяйства города Аксай»</t>
  </si>
  <si>
    <t>ГУ «Отдел жилищно – коммунального хозяйства, пассажирского транспорта и автомобильных дорог и жилищной инспекции города Сарань»</t>
  </si>
  <si>
    <t>АО "Соколовско-Сарбайское горно-обогатительное производственное Обьединение"</t>
  </si>
  <si>
    <t>Замена световых приборов люминесцентных ламп, прожекторов и ламп накаливания подрядной организацией на LED светильники на объектах Международного аэропорта Алматы</t>
  </si>
  <si>
    <t xml:space="preserve">Филиал АО "НК "КТЖ" - "Дирекция магистральной сети" </t>
  </si>
  <si>
    <t>Газификация зданий районной электрической сети ст.Шиели</t>
  </si>
  <si>
    <t>ГУ «Отдел энергетики и жилищно-коммунального хозяйства города Темиртау»</t>
  </si>
  <si>
    <t>ГУ "Отдел энергетики и жилищно – коммунального хозяйства города Риддер"</t>
  </si>
  <si>
    <t>«Обследование системы уличного освещения города Форт - Шевченко»</t>
  </si>
  <si>
    <t>Установка КРМ</t>
  </si>
  <si>
    <t>Установка ЧРП</t>
  </si>
  <si>
    <t>г. Алматы</t>
  </si>
  <si>
    <t>АО "Астана-Теплотранзит"</t>
  </si>
  <si>
    <t>ГУ "Управление энергетики и жилищно-коммунального хозяйства ВКО"</t>
  </si>
  <si>
    <t>1. Установка ЧРП (2ед.)</t>
  </si>
  <si>
    <t>«Модернизация уличного освещения в районных центрах Восточно - Казахстанской области»</t>
  </si>
  <si>
    <t xml:space="preserve">Проект развития систем уличного освещения в гороах и районных центрах Восточно - Казахстанской области </t>
  </si>
  <si>
    <t>Общий ИТОГ в  млн. тг.:</t>
  </si>
  <si>
    <t>Доверительное управление с элементами ЭСКО (софинансирование 1,480 бюджетные средства; 3,830 ЕБРР)</t>
  </si>
  <si>
    <t>Модернизация освещения на объектах г. Алматы</t>
  </si>
  <si>
    <t>Модернизаци системы освещения на объектах ТОО "Казэлектростройсервис" г.Алматы</t>
  </si>
  <si>
    <t>Модернизация освещения автодорог г. Нур-Султан</t>
  </si>
  <si>
    <t>Модернизация освещения Президентской автодороги в аэропорт г. Нур-Султан</t>
  </si>
  <si>
    <t>Модернизация освещения автодорог г. Алматы</t>
  </si>
  <si>
    <t>Модернизация автозаправок г. Алматы</t>
  </si>
  <si>
    <t>Модернизация системы освещения автозаправок г. Алматы</t>
  </si>
  <si>
    <t>Модернизация системы освещения на объектах ТОО "Казэнергострой" г. Алматы</t>
  </si>
  <si>
    <t>Модернизация освещения на местрождении г. Атырау</t>
  </si>
  <si>
    <t>Модернизация системы освещения на территории АО "Эмбамунайгаз" г. Атырау</t>
  </si>
  <si>
    <t xml:space="preserve">Атырауская область </t>
  </si>
  <si>
    <t>АО "Эмбамунайгаз"</t>
  </si>
  <si>
    <t>ТОО "Ниет ЛТД"</t>
  </si>
  <si>
    <t>ТОО "Казэнергострой"</t>
  </si>
  <si>
    <t xml:space="preserve">ТОО "Казэлектростройсервис" </t>
  </si>
  <si>
    <t>ТОО "Аспан-Энерго"</t>
  </si>
  <si>
    <t>ТОО "WEISS INDUSTRIAL TECHNIK (KAZAKHSTAN)"</t>
  </si>
  <si>
    <t>32 проектов</t>
  </si>
  <si>
    <t>Павлодар облысы</t>
  </si>
  <si>
    <t xml:space="preserve">35-ГЧП, 18-ЭСКО = 53 ЭСКО/ГЧП </t>
  </si>
  <si>
    <t>28 - Доверительное ЭСКО</t>
  </si>
  <si>
    <t>Алматы халықаралық әуежайының көше және ішкі жарықтандыру жүйесін энергия тиімді жарықдиодты жабдыққа жаңғырту</t>
  </si>
  <si>
    <t>Көше және ішкі жарықтандыру жүйесін жаңғырту</t>
  </si>
  <si>
    <t>«OST ASIA» ЖШС</t>
  </si>
  <si>
    <t>""ҚТЖ" ҰК "АҚ филиалы - дистанциясының Шиелі станциясындағы аудандық электр желісінің ғимараттарын газдандыру"</t>
  </si>
  <si>
    <t>Шиелі ст.аудандық электр желісінің ғимаратын газдандыру</t>
  </si>
  <si>
    <t>«ҚТЖ» ҰК» АҚ</t>
  </si>
  <si>
    <t>Жеке Қаражаты</t>
  </si>
  <si>
    <t>Теміртау қаласының ЭжТКШ жолдары, құрылыс және тұрғын үй инспекциясы бөлімі ММ</t>
  </si>
  <si>
    <t>"Теміртау қаласында көшені жарықтандыруды жаңғырту"</t>
  </si>
  <si>
    <t>«Кызылорда - ЭлектроСеть Строй» ЖШС</t>
  </si>
  <si>
    <t>Риддер қаласының тұрғын үй-коммуналдық шаруашылық, жолаушылар көлігі және автомобиль жолдары, құрылыс және тұрғын үй инспекциясы бөлімі ММ</t>
  </si>
  <si>
    <t>"Риддер қаласында көшені жарықтандыруды жаңғырту"</t>
  </si>
  <si>
    <t>"Түпқараған аудандық және тұрғын үй-коммуналдық шаруашылығы, жолаушылар көлігі және автомобиль жолдары бөлімі" ММ</t>
  </si>
  <si>
    <t>"Форт-Шевченко қаласындағы көшені жарықтандыру жүйесін зерттеу"</t>
  </si>
  <si>
    <t>"Форт-Шевченко қаласындағы көшені жарықтандыру жүйесін жаңғырту"</t>
  </si>
  <si>
    <t>«Асанас – Дар» ЖШС</t>
  </si>
  <si>
    <t>Арал қаласының ТКШ, жолаушылар көлігі және автомобиль жолдары, құрылыс және тұрғын үй инспекциясы бөлімі ММ</t>
  </si>
  <si>
    <t>"Арал қаласында көшені жарықтандыруды жаңғырту"</t>
  </si>
  <si>
    <t>«Берсугир»" ЖШС</t>
  </si>
  <si>
    <t>"Сатпаев қаласында көшені жарықтандыруды жаңғырту"</t>
  </si>
  <si>
    <t>«Алатау-Кус» АҚ</t>
  </si>
  <si>
    <t>Заманауи технологияларды қолдана отырып, энергия үнемдеу және энергия тиімділігін арттыру</t>
  </si>
  <si>
    <t>№1 бригаданың жарық көздерін энергия тиімді деп ауыстыру жөніндегі іс-шаралар</t>
  </si>
  <si>
    <t>"Спецфундаментстрой" ЖШС</t>
  </si>
  <si>
    <t>№2 бригаданың жарық көздерін энергия тиімді деп ауыстыру жөніндегі іс-шаралар</t>
  </si>
  <si>
    <t>№4 бригаданың жарық көздерін энергия тиімді деп ауыстыру жөніндегі іс-шаралар</t>
  </si>
  <si>
    <t>№5 бригаданың жарық көздерін энергия тиімді деп ауыстыру жөніндегі іс-шаралар</t>
  </si>
  <si>
    <t>№6 бригаданың жарық көздерін энергия тиімді деп ауыстыру жөніндегі іс-шаралар</t>
  </si>
  <si>
    <t>№7 бригаданың жарық көздерін энергия тиімді деп ауыстыру жөніндегі іс-шаралар</t>
  </si>
  <si>
    <t>Өнеркәсіптік аймақ аумақтарының үй-жайларының жарық көздерін энергия тиімді аймақтарға ауыстыру жөніндегі іс-шаралар</t>
  </si>
  <si>
    <t>«Гостиница Целинная» ЖШС</t>
  </si>
  <si>
    <t>"Гостиница Целинная" ЖШС</t>
  </si>
  <si>
    <t>«САПРО-НАТ» ЖШС</t>
  </si>
  <si>
    <t>"Қиялы ауылының ауылдық клубы "КММ жылу жүйесін жаңғырту"</t>
  </si>
  <si>
    <t>Жылу жүйесін жаңғырту</t>
  </si>
  <si>
    <t>«Актюбинская медная компания» ЖШС</t>
  </si>
  <si>
    <t>Жарық жүйесін жаңғырту</t>
  </si>
  <si>
    <t>Люминесцентті шамдарды жарықдиодтға ауыстыру</t>
  </si>
  <si>
    <t>"Актюбинская медная компания" ЖШС</t>
  </si>
  <si>
    <t>"Маңғыстаумұнайгаз" АҚ</t>
  </si>
  <si>
    <t>"Маңғыстаумұнайгаз" АҚ Энергия үнемдеу және энергия тиімділігін арттыру жөніндегі іс-шаралар</t>
  </si>
  <si>
    <t>Жарықдиодты шамдарды ауыстыру</t>
  </si>
  <si>
    <t>55-75 кВт электр қозғалтқышы бар НБ-125 үлгісіндегі поршеньді сорғыларды "Қаламқас"ш/а ММ-де 110 кВт электр қозғалтқышы бар ОЖЖ-105-147 бір орталықтан тепкіш сорғыға ауыстыру</t>
  </si>
  <si>
    <t>"ПИКО" ЖШС</t>
  </si>
  <si>
    <t>"Метроном" кешенін жаңғырту және реконструкциялау</t>
  </si>
  <si>
    <t>Шамдарды және жылу оқшаулағышты ауыстыру</t>
  </si>
  <si>
    <t>"ШҚО энергетика және тұрғын үй-коммуналдық шаруашылық басқармасы"ММ</t>
  </si>
  <si>
    <t>"Шығыс Қазақстан облысының аудан орталықтарында көше жарығын жаңғырту"</t>
  </si>
  <si>
    <t>Шығыс Қазақстан облысының қалалары мен аудан орталықтарында көшелерді жарықтандыру жүйелерін дамыту жобасы</t>
  </si>
  <si>
    <t>Everlight Electronics Co. компаниясы (Тайван)</t>
  </si>
  <si>
    <t>ЭСКО элементтері бар Сенімгерлік басқару (қоса қаржыландыру 1,480 бюджет қаражаты; 3,830 ЕҚДБ)</t>
  </si>
  <si>
    <t>"Казэлектростройсервис" ЖШС</t>
  </si>
  <si>
    <t>Алматы қ. объектілерінде жарықтандыру жүйесін жаңғырту</t>
  </si>
  <si>
    <t>"Қазэлектростройсервис" ЖШС объектілерінде жарықтандыру жүйесін жаңғырту</t>
  </si>
  <si>
    <t>"Аспан-Энерго" ЖШС</t>
  </si>
  <si>
    <t>«ЕмдіМұнайГаз» АҚ</t>
  </si>
  <si>
    <t>Атырау қаласындағы кенорынның жарықтандыруының жаңғырту</t>
  </si>
  <si>
    <t>Атырау қаласындағы "ЕмбіМұнайГаз" АҚ аумағында жарықтандыру жүйесін жаңғырту</t>
  </si>
  <si>
    <t>"Ниет ЛТД" ЖШС</t>
  </si>
  <si>
    <t>Алматы қ. жанармай бекетінің жарықтандыру жүйесін жаңғырту</t>
  </si>
  <si>
    <t>«Алматы халықаралық әуежайы» АҚ</t>
  </si>
  <si>
    <t>"ҚТЖ "ҰК" АҚ филиалы - "Магистральдық желі дирекциясы" - "Қызылорда магистральдық желі бөлімшесі"</t>
  </si>
  <si>
    <t>Сатпаев қаласының тұрғын үй-коммуналдық шаруашылық, жолаушылар көлігі және автомобиль жолдары, құрылыс және тұрғын үй инспекциясы бөлімі ММ</t>
  </si>
  <si>
    <t>Сыртқы және ішкі жарықтандыру шамдарын жарықдиодты шамдарға ауыстыру</t>
  </si>
  <si>
    <t xml:space="preserve">Алматы қ. жанармай бекетін
жаңғырту
</t>
  </si>
  <si>
    <t>"Казэнергострой" ЖШС</t>
  </si>
  <si>
    <t xml:space="preserve">Алматы қаласындағы объектілерін
жаңғырту
</t>
  </si>
  <si>
    <t>Атырау облысы</t>
  </si>
  <si>
    <t>КГКП «Специализированный дом ребенка г.Усть-Каменогорск»</t>
  </si>
  <si>
    <t xml:space="preserve"> </t>
  </si>
  <si>
    <t>Нұр-Сұлтан қаласының автожолдарын жарықтандыруды жаңғырту</t>
  </si>
  <si>
    <t>Нұр-Сұлтан қаласының Президенттік автожолдарын жарықтандыруды жаңғырту</t>
  </si>
  <si>
    <t>Алматы қаласының автожолдарын жарықтандыруды жаңғырту</t>
  </si>
  <si>
    <t>Жалпы білім беретін орта мектеп "КММ жаңғырту М. Қайырбаев" Ақтоғай ауданы"</t>
  </si>
  <si>
    <t>"Атырау облысының ТКШ, жолаушылар көлігі және автомобиль жолдары және тұрғын үй инспекциясы баскармасы" ММ</t>
  </si>
  <si>
    <t>"Кешен мен қазандық жүйесін жаңғырту"</t>
  </si>
  <si>
    <t xml:space="preserve">ЖШС "Казэнергострой" Алматы қаласындағы объектілерін
жаңғырту
</t>
  </si>
  <si>
    <t>ОАА ШЖҚ МКК. Ғ. мүсірепов, с. Чистополье</t>
  </si>
  <si>
    <t>ИТОГО:</t>
  </si>
  <si>
    <t>«Шығыс Қазақстан облысының энергетика және тұрғын үй-коммуналдық шаруашылық басқармасы» мемлекеттік мекемесі</t>
  </si>
  <si>
    <t xml:space="preserve">Автоматизированная система коммерческого учета электроэнергии КГП "Костанайюжэлектросервис" </t>
  </si>
  <si>
    <t>ГУ "Отдел жилищно - коммунального хозяйства, пассажирского транспорта, автомобильных дорог и жилищной инспекции акимата Карасуского района"</t>
  </si>
  <si>
    <t>ИТОГИ за 2022 год</t>
  </si>
  <si>
    <t xml:space="preserve">Установка системы автоматического погодного регулирования </t>
  </si>
  <si>
    <t xml:space="preserve">Установка автоматизированного теплового пункта с погодным регулированием </t>
  </si>
  <si>
    <t>КГП "Костанайюжэлектросервис"</t>
  </si>
  <si>
    <t>Модернизация и строительство системы уличного освещения города Талдыкорган</t>
  </si>
  <si>
    <t>Модернизация системы водоснабжения</t>
  </si>
  <si>
    <t>Ақмола облысы</t>
  </si>
  <si>
    <t>Модернизация системы освещения с использованием энергоэффективных LED  светильников</t>
  </si>
  <si>
    <t>кВтч*год</t>
  </si>
  <si>
    <t>СС (бюджетные средства)</t>
  </si>
  <si>
    <t>"Модернизация сетей уличного освещения Илийского района и доверительное управление им" ГУ "Управление энергетики и жилищно-коммунального хозяйства акимата Алматинской области"</t>
  </si>
  <si>
    <t>Модернизация и строительство системы уличного освещения</t>
  </si>
  <si>
    <t>Модернизация и строительство системы уличного освещения города Капшагай</t>
  </si>
  <si>
    <t>Модернизация и строительство системы уличного освещения города Текели</t>
  </si>
  <si>
    <t>Модернизация и строительство системы уличного освещения в городе Кульсары (протяженность улиц - 68 368 метр)"</t>
  </si>
  <si>
    <t>ТОО "Электрокомплект"</t>
  </si>
  <si>
    <t>ТОО "Тараз Профиль"</t>
  </si>
  <si>
    <t>КГУ «Общеобразовательная средняя школа им. М.Кайырбаева» Актогайского района»</t>
  </si>
  <si>
    <t>Модернизация АО «Интергаз Центральная Азия»</t>
  </si>
  <si>
    <t>Модернизация ТОО «Усть-Каменогорская ТЭЦ»</t>
  </si>
  <si>
    <t>Модернизация  АО «Каспий Нефть»</t>
  </si>
  <si>
    <t>Модернизация АО «Астана-Энергия»</t>
  </si>
  <si>
    <t>Модернизация АО «Айдабульский спиртзавод»</t>
  </si>
  <si>
    <t>Модернизация АО «Астана-РЭК»</t>
  </si>
  <si>
    <t>Модернизация освещения КГУ «Школа-интернат «АКНИЕТ» для детей с ограниченными возможностями»,  г.Усть-Каменогорск</t>
  </si>
  <si>
    <t>Модернизация АО «ТАТЭК»</t>
  </si>
  <si>
    <t>Модернизация  энергосистемы ТОО «РУ-6»</t>
  </si>
  <si>
    <t xml:space="preserve"> АО «Талдыкорганская акционерная транспортная электросетевая компания»</t>
  </si>
  <si>
    <t xml:space="preserve"> ГУ  «Управление энергетики и жилищно-коммунального хозяйства ВКО»</t>
  </si>
  <si>
    <t>Модернизация ГУ  «Управление энергетики и жилищно-коммунального хозяйства ВКО» (установка автоматизированного теплового пункта)</t>
  </si>
  <si>
    <t>Модернизация освещении ТОО «Добывающее предприятие «Орталык»</t>
  </si>
  <si>
    <t>Модернизация освещения и установка энергосберегающего светодиодного осветительного оборудования на предприятиях ТОО «Корпорация Казахмыс»</t>
  </si>
  <si>
    <t>1. Прокладка теплотрассы для нужд отопления СОХПВ (для нужд отопления СОХПВ ранее использовалась исключительно электроотопление)</t>
  </si>
  <si>
    <t>«Модернизация Газонаполнительной станции СУГ»</t>
  </si>
  <si>
    <t xml:space="preserve"> ТОО «Казфосфат»</t>
  </si>
  <si>
    <t>Модернизация ТОО «Казфосфат»</t>
  </si>
  <si>
    <t>2. Замена компрессора  К-250-61-2 (2ед.)</t>
  </si>
  <si>
    <t>Модернизация освещения КГУ «Реабилитационный центр для инвалидов»,  г.Кызылорда</t>
  </si>
  <si>
    <t>Модернизация освещения ГКП на ПВХ «Городская поликлиника №6» г.Кызылорда</t>
  </si>
  <si>
    <t>Модернизация освещения ГКП на ПВХ «Актауская городская поликлиника №2»</t>
  </si>
  <si>
    <t>КГКП «Специализированный дом ребенка г.Усть-Каменогорска» управления здравоохранения ВКО</t>
  </si>
  <si>
    <t>Модернизация КГКП «Специализированный дом ребенка г.Усть-Каменогорск» (установка автоматизированного теплового пункта)</t>
  </si>
  <si>
    <t>3. Замена лампы на светодиодные светильники</t>
  </si>
  <si>
    <t xml:space="preserve">ГКП на ПХВ «Тупкарагайская ЦРБ» Управление здравоохранения Мангистауской области            </t>
  </si>
  <si>
    <t>Модернизация освещения ГКП на ПХВ «Тупкарагайская ЦРБ»</t>
  </si>
  <si>
    <t>НАО «Алматинский университет энергетики и связи»</t>
  </si>
  <si>
    <t>Модернизация освещения НАО «Алматинский университет энергетики и связи»</t>
  </si>
  <si>
    <t xml:space="preserve">кВтч                       </t>
  </si>
  <si>
    <t xml:space="preserve">кВтч                      </t>
  </si>
  <si>
    <t>ГУ «Отдел жилищно-коммунального хозяйства, пассажирского транспорта и автомобильных дорог города Экибастуза»</t>
  </si>
  <si>
    <t>Модернизация и эксплутация электрических сетей наружного освещения в городе Экибастуз»</t>
  </si>
  <si>
    <t>Замена светильников на светодиодные (3554 ед.), замена неизолированного провода на СИП 98,2 км, установка АСУНО - 61 шкафов</t>
  </si>
  <si>
    <t>Замена осветительных приборов на энергосберегающие (5600 шт)</t>
  </si>
  <si>
    <t>Замена люминесцентных светильников и ламп накаливания на светодиодные светильники (356 шт.)</t>
  </si>
  <si>
    <t>ТОО «Алтын Дан»</t>
  </si>
  <si>
    <t>ТОО «Атырауский НПЗ»</t>
  </si>
  <si>
    <t>1. Замена лампы и люминесцентных светильников на светодиодные светильники</t>
  </si>
  <si>
    <t xml:space="preserve">Модернизация промышленного предприятия </t>
  </si>
  <si>
    <t>1. Замена освещения на светодиодное 1145 шт (ДРЛ, ЛН-60, ЛН-18, TLD-58, ДРЛ-250, ДРЛ - 400)</t>
  </si>
  <si>
    <t>2. Установка компенсатор реактивной мощности</t>
  </si>
  <si>
    <t>Замена обмуровки фронтового и боковых агрегатов котлоагрегата БКЗ - 320 -140 ст. №12</t>
  </si>
  <si>
    <t>т.у.т. (685 тонн угля)</t>
  </si>
  <si>
    <t>Энергосбережение и повышение энергоэффективности на м/р Акшабулак, Нуралы и Аксай</t>
  </si>
  <si>
    <t>Закупка и установка калориметра на ГПС-2 с выводом показаний в систему автоматического регулирования калорийности газовой смеси</t>
  </si>
  <si>
    <r>
      <t>9596 (</t>
    </r>
    <r>
      <rPr>
        <b/>
        <sz val="14"/>
        <rFont val="Times New Roman"/>
        <family val="1"/>
        <charset val="204"/>
      </rPr>
      <t>16 835 тыс м3)</t>
    </r>
  </si>
  <si>
    <t>1.Установка ЧРП, 3 ед (ШУН-2-30-T-IS, ШУН-2-22-Т-355А-00, ШУН-2-7,5)</t>
  </si>
  <si>
    <t>2.Фотореле ФР-601 изоляция трубопровода (изоляция пенополиуретаном и минватой с кожухом из металла)</t>
  </si>
  <si>
    <t>АО «Атырауские тепловые сети»</t>
  </si>
  <si>
    <t>Модернизация АО «Атырауские тепловые сети»</t>
  </si>
  <si>
    <t>1. Установка частотных преобразователей эл. двигателей</t>
  </si>
  <si>
    <t>2.Покрытие теплоизоляцией сетевых труботпроводов пенополиретаном в здании сетевой насосной СН-1-го подъема и сетевых трубопроводов трубинного цеха, ТЭЦ-2</t>
  </si>
  <si>
    <t>1.Ремонт систем освещения в помещениях главного корпуса АБК,ОВК, проходной, ЛК,ВКЦ,ХЦ, цирк, насосной ТЭЦ-2</t>
  </si>
  <si>
    <t>МВт</t>
  </si>
  <si>
    <t>Повышение энергоэффективности в АО «Университет Нархоз»</t>
  </si>
  <si>
    <t>Замена освещения на светодиодные светильники (450 шт.)</t>
  </si>
  <si>
    <t>Замена ламп накаливания на светодиодные светильники</t>
  </si>
  <si>
    <t>2.Установка датчиков движения здания АБК</t>
  </si>
  <si>
    <t>1.Замена светильников на светодиодные здания АБК</t>
  </si>
  <si>
    <t>4.Внедрение АСКУЭ на МЖФ (кол. ЖК шт.)</t>
  </si>
  <si>
    <t>1.Замена люминесцентных ламп внутреннего освещения на светодиодные светильники (заменены 2200 люминесцентных ламп ЛБ20 на светодиодные типа Т8)</t>
  </si>
  <si>
    <t>2.Замена светильников с лампами ДРЛ на светодиодные светильники (заменены 100 светильников с лампами ДРЛ на светодиодные СУС90)</t>
  </si>
  <si>
    <t>3.Установка ЧРП на электропривод технологического оборудования (для плавного пуска и регулировке скорости движения ленты конвейера установлен инвертор типа ESQ - 600-4T0370G/045P)</t>
  </si>
  <si>
    <t>4.Замена утеплителей окон, дверей и ворот (утепитель силиконовый замена, механизм запирания)</t>
  </si>
  <si>
    <t>5.Модернизация системы вентиляции и кондиционирования (заменены ранее установленные кондиционеры в количестве 12 шт. На компрессорно-конденсаторный блок с радиальными вентиляторами типа АСМ)</t>
  </si>
  <si>
    <t>Внедрение энергосберегающих мероприятий</t>
  </si>
  <si>
    <t>Модернизация сетей уличного освещения города Уральск на 2020-2022 годы</t>
  </si>
  <si>
    <t>ГУ «Отдел энергетики и жилищно-коммунального хозяйства, пассажирского транспорта и автомобильных дорог Бурлинского района»</t>
  </si>
  <si>
    <t>Модернизация уличного освещения города Темиртау (3530 ед. светильников)</t>
  </si>
  <si>
    <t>Модернизация уличного освещения города Риддер (124 ед. светильников)</t>
  </si>
  <si>
    <t>10 81</t>
  </si>
  <si>
    <t>ГУ «Отдел энергетики и жилищно-коммунального хозяйства города Лисаковск»</t>
  </si>
  <si>
    <t xml:space="preserve">Модернизация системы освещения цеха производства аммиака ПАМ завода </t>
  </si>
  <si>
    <t xml:space="preserve">Модернизация системы освещения на объектах ТОО "Казэнергострой" </t>
  </si>
  <si>
    <t>ТОО «Компания Сталь Трейд»</t>
  </si>
  <si>
    <t>ТОО "Тепломонтаж"</t>
  </si>
  <si>
    <t>Модернизация системы освещения, в том числе уличное освещение</t>
  </si>
  <si>
    <t xml:space="preserve">Модернизация и сервисное обслуживание системы отопления Жанакорганского аграрно-технического колледжа и административного здания аппарата акима Жанакорганского района </t>
  </si>
  <si>
    <t>Модернизация и сервисное обсуживание системы отопления Жанакорганской ЦРБ с АПУ в поселке Жанакорган и Жанакорганского районного архива</t>
  </si>
  <si>
    <t>«Қостанай облысы әкімдігінің энергетика және тұрғын үй-коммуналдық шаруашылық басқармасы» мемлекеттік мекемесі «Қостанайюжэлектросервис» КМК</t>
  </si>
  <si>
    <t>«Қостанайюжэлектросервис» КМК электр энергиясын коммерциялық есепке алудың автоматтандырылған жүйесі</t>
  </si>
  <si>
    <t>Қостанайюжэлектросервис МКК электр энергиясын коммерциялық есепке алудың автоматтандырылған жүйесі "КЕГОК "Сарыбай жүйеаралық электр желілері" АҚ филиалының Адо диспетчерлік пунктімен "Қостанайюжэлектросервис" КМК диспетчерлік пунктінің тікелей телефон байланыс арналарын ұйымдастыру"жобасы шеңберінде</t>
  </si>
  <si>
    <t>Қарасу ауданы әкімдігінің тұрғын үй-коммуналдық шаруашылық, жолаушылар көлігі, автомобиль жолдары және тұрғын үй инспекциясы бөлімі ММ</t>
  </si>
  <si>
    <t>Қостанай облысы Қарасу ауданы Шолғашы селосында 0,45 кВ электр желілерін қайта жаңарту</t>
  </si>
  <si>
    <t>Челгаши ауылында темірбетон тіректерін орнату СВ 95-2а 466 дана, темірбетон тіректерін СВ 105 2 дана</t>
  </si>
  <si>
    <t>Ауа райын реттейтін автоматтандырылған жылу пунктін орнату</t>
  </si>
  <si>
    <t>"ЮВАС" ЖШС</t>
  </si>
  <si>
    <t>"Парус" ЖК</t>
  </si>
  <si>
    <t>Автоматты ауа райын реттеу жүйесін орнату</t>
  </si>
  <si>
    <t>Парус ДОЦ "сумен жабдықтау жүйесін жаңғырту"</t>
  </si>
  <si>
    <t>Парус ДОЦ "жарықтандыру жүйесін жаңғырту"</t>
  </si>
  <si>
    <t>Парус ДОЦ "жылыту жүйесін жаңғырту"</t>
  </si>
  <si>
    <t>Сумен жабдықтау жүйесін жаңғырту</t>
  </si>
  <si>
    <t>Жылыту жүйесін жаңғырту</t>
  </si>
  <si>
    <t>Аумақты абаттандыру</t>
  </si>
  <si>
    <t>Көшені жарықтандыру</t>
  </si>
  <si>
    <t>"ЭКО Сервис - 2030" ЖШС</t>
  </si>
  <si>
    <t>"Компания Сталь Трейд" ЖШС</t>
  </si>
  <si>
    <t>Марат Оспанов атындағы Батыс Қазақстан медицина университеті</t>
  </si>
  <si>
    <t>Марат Оспанов атындағы Батыс Қазақстан медицина университеті, Ақтөбе қаласы</t>
  </si>
  <si>
    <t>Замена существующих светильников на светодиодные (Сарыбулак, Зайсанский р-н, ВКО)</t>
  </si>
  <si>
    <t>Мвт</t>
  </si>
  <si>
    <t>ТОО "КПКФ "Ульба-Электро"</t>
  </si>
  <si>
    <t>Модернизация и сервисное обсуживание системы отопления Аральского индустриально-технического колледжа и областной специальной санаторной школы - интернат №2 в городе Аральск</t>
  </si>
  <si>
    <t>Энергосбережение и повышение энергоэффективности (электроосвещение)</t>
  </si>
  <si>
    <t xml:space="preserve">Замена существующих светильников на светодиодные светильники </t>
  </si>
  <si>
    <t xml:space="preserve">Модернизация системы освещения с использованием энергоэффективных LED светильников
</t>
  </si>
  <si>
    <t xml:space="preserve">Модернизация системы освещения c использованием энергоэффективных LED светильников </t>
  </si>
  <si>
    <t>ТОО "Женский луч"</t>
  </si>
  <si>
    <t>2022 жылдың қорытындысы</t>
  </si>
  <si>
    <t>Жалпы қорытынды (млн. тг.):</t>
  </si>
  <si>
    <t>Замена ламп на светодиодное освещение (707 ед.)</t>
  </si>
  <si>
    <t>Замена ламп на светодиодное освещение (390 ед.)</t>
  </si>
  <si>
    <t>Замена ламп на светодиодное освещение (91 ед.)</t>
  </si>
  <si>
    <t>Замена ламп на светодиодное освещение (133 ед.)</t>
  </si>
  <si>
    <t>Доверительное управление с элементами ЭСКО (софинансирование 1,80 млн. бюджетные средства; 4,230 млн. ЕБРР)</t>
  </si>
  <si>
    <t>Модернизация системы отопления и котельной системы</t>
  </si>
  <si>
    <t>8702-011-00-12 Шахислам / 8707-129-12-34 Аман</t>
  </si>
  <si>
    <t>3 года срок строит/ 7 лет эксплутация</t>
  </si>
  <si>
    <t>Замена ламп на светодиодные - 13900 шт</t>
  </si>
  <si>
    <t>Замена устаревших ламп на светодиодные (4000 светодиодных ламп)</t>
  </si>
  <si>
    <t>ТОО «Батыс Транзит»</t>
  </si>
  <si>
    <t>Модернизация и строительство системы уличного освешения в городе Атырау (протяженность улиц - 198 442 м)" (189 улиц)</t>
  </si>
  <si>
    <t>Модернизация и строительство системы уличного освешения в городе Атырау (протяженность улиц - 34 620 м)" (34620 Метров)</t>
  </si>
  <si>
    <t>Модернизация и эксплуатация уличного освещения Сузакского района (930шт)</t>
  </si>
  <si>
    <t>Модернизация системы уличного освещения (700 на 100 единиц на (Вт))</t>
  </si>
  <si>
    <t>Модернизация системы уличного освещения города Алматы (LED светильники – 44 576 ед. доп. светильники – 1 253 ед. опоры – 42 052 ед. кабель – 1 375,15 км)</t>
  </si>
  <si>
    <t>ТОО «Электроремонт» (консорциум в составе ТОО "Электроремонт", ТОО "ABMbuilding 2007", ТОО "ABMProject")</t>
  </si>
  <si>
    <t>8716-45-6-91-92/после обеда</t>
  </si>
  <si>
    <t>на почту отправить лично</t>
  </si>
  <si>
    <t>Замена светильников на светодиодные (12 483 шт.) внедрение интеллектуальной  системы управления уличным освещением</t>
  </si>
  <si>
    <t>Модернизация и доверительное управление системы наружного освещения города Тараз (16079 светильники, единица)</t>
  </si>
  <si>
    <t>Замена ламп на светодиодное освещение (212 ед.)</t>
  </si>
  <si>
    <t>ТОО "Энергоэксперт и К"</t>
  </si>
  <si>
    <t>Внедрение устройств компенсации рекативной мощности (УКРМ)</t>
  </si>
  <si>
    <t>Реактивті қуатты өтеу құрылғыларын енгізу (РҚӨҚ)</t>
  </si>
  <si>
    <t>"СКЭП" ЖШС</t>
  </si>
  <si>
    <t>ТОО "Jetysu Energy"</t>
  </si>
  <si>
    <t xml:space="preserve">ТОО «LED system»,                                     г. Астана                        </t>
  </si>
  <si>
    <t>ГУ "Управление энергетики и жилищно-коммунального хозяйства Алматинской области"</t>
  </si>
  <si>
    <t>ТОО "Торлан-Строй"</t>
  </si>
  <si>
    <t>Установка термостатических клапанов</t>
  </si>
  <si>
    <t>Замена ламп освещения на светодиодные светильники КГУ "Жанаталапская средняя школа с дошкольным мини-центром с начальной школой Умтыл"</t>
  </si>
  <si>
    <t xml:space="preserve">Замена ламп освещения на светодиодные светильники </t>
  </si>
  <si>
    <t xml:space="preserve">ТОО "Темирбетон-1" </t>
  </si>
  <si>
    <t>ГУ "Отдел образования по городу Капшагай Управления образования Алматинской области"</t>
  </si>
  <si>
    <t>Замена освещения на светодиодные ГККП "Детский сад "Балауса"</t>
  </si>
  <si>
    <t xml:space="preserve">Замена освещения на светодиодные светильники </t>
  </si>
  <si>
    <t>ТОО "Асанас-Дар"</t>
  </si>
  <si>
    <t>ТОО "Capital Invest LTD"</t>
  </si>
  <si>
    <t>ТОО "Компания "МЕГО ЛТД"</t>
  </si>
  <si>
    <t>Установка терморегуляторов , автоматических балансировочных клапанов</t>
  </si>
  <si>
    <t xml:space="preserve">Замена светильников с люминесцентными лампами и лампами накаливания на светодиодные </t>
  </si>
  <si>
    <t>Установка автоматизированного теплового пункта (АТП)</t>
  </si>
  <si>
    <t xml:space="preserve">  ТОО СК "КазСтройПроект"</t>
  </si>
  <si>
    <t>Алматы облысының энергетика және тұрғын үй-коммуналдық шаруашылық басқармасы ММ</t>
  </si>
  <si>
    <t>Блокты-модульді қазандықты жаңғырту</t>
  </si>
  <si>
    <t>Есік қ., 1 ш. а. Блокты-модульді қазандықты жаңғырту, тұрғын үйлер Д.№1, №2, №3, №4, №5, №6, №7, №10, №13, №9, №11, №18, № 18а</t>
  </si>
  <si>
    <t>Есік қ., 3 шағын ауданы, Блокты-модульді қазандықты жаңғырту №10а, №10, №93, №93а, №46, №9А тұрғын үйлер, №5, №16, №20, №21, №6, №12, 4- ш., №5, №6, №46, 2 н / ж үйлер</t>
  </si>
  <si>
    <t>Есік қ., 2 ш. а. Блокты-модульді қазандықты жаңғырту, тұрғын үйлер д.№15, №19, №21, № 21а, №17, №16, №14, №20, №22, №23, №24</t>
  </si>
  <si>
    <t>Есік қаласындағы, Талғар көшесіндегі№1, №7, №3, Астана көшесіндегі №103а, №105а, №101а, №99а, Алматы көшесіндегі №209а блоктық-модульдік қазандықты жаңғырту</t>
  </si>
  <si>
    <t>Есік қ., 3 шағын ауданы, Блокты-модульді қазандықты жаңғырту, тұрғын үйлер Д.№2, №3, №4, №9, №25, №29, №13, № 13а; Марат к-сі, №78, №80, №82, №92, №92а, №84, №86 үйлер</t>
  </si>
  <si>
    <t>Түркістан облысының энергетика және тұрғын үй-коммуналдық шаруашылық басқармасы ММ</t>
  </si>
  <si>
    <t>Алматы қаласы "Темірбетон-1" ЖШС</t>
  </si>
  <si>
    <t>"Темірбетон-1" ЖШС кәсіпорнында энергия үнемдеу және энергия тиімділігін арттыру</t>
  </si>
  <si>
    <t>Автокөлікті газ отынына ауыстыру</t>
  </si>
  <si>
    <t>Көшеде, дәліздерде және техникалық үй-жайларда болу датчиктерін енгізу</t>
  </si>
  <si>
    <t>ЖШС "Энергоэксперт и К"</t>
  </si>
  <si>
    <t>ЖШС "Jetysu Energy"</t>
  </si>
  <si>
    <t>ЖШС "Торлан-Строй"</t>
  </si>
  <si>
    <t xml:space="preserve">ЖШС "Темирбетон-1" </t>
  </si>
  <si>
    <t>ЖШС "Асанас-Дар"</t>
  </si>
  <si>
    <t>ЖШС "Capital Invest LTD"</t>
  </si>
  <si>
    <t>ЖШС "Компания "МЕГО ЛТД"</t>
  </si>
  <si>
    <t xml:space="preserve">  ЖШС СК "КазСтройПроект"</t>
  </si>
  <si>
    <t>ПВХ "№ 8 қалалық емхана " МКК</t>
  </si>
  <si>
    <t>Шымкент қаласындағы ішкі жарықтандыруды жаңғырту және пайдалану</t>
  </si>
  <si>
    <t>Шымкент қаласының көше жарығын жаңғырту және пайдалану</t>
  </si>
  <si>
    <t>Термостатикалық клапандарды орнату</t>
  </si>
  <si>
    <t>Алматы облысы Білім басқармасының Қаратал ауданы бойынша білім бөлімі ММ</t>
  </si>
  <si>
    <t>Жарық шамдарын жарықдиодты шамдарға ауыстыру</t>
  </si>
  <si>
    <t>Термореттегіштерді, Автоматты теңгеру клапандарын орнату</t>
  </si>
  <si>
    <t>№ 83 орта мектебі көше жарығын жаңғырту және пайдалану</t>
  </si>
  <si>
    <t>"Қызылорда облысы Арал ауданы әкімдігінің білім бөлімі" ММ</t>
  </si>
  <si>
    <t>"Жаңаталап орта мектебі мектепке дейінгі шағын орталығымен" КММ-нің "Үмітыл" бастауыш мектебіН Жарықтандыру шамдарын жарықдиодты шамдарына ауыстыру</t>
  </si>
  <si>
    <t>"Алматы облысы Білім басқармасының Қапшағай қаласы бойынша білім бөлімі" ММ</t>
  </si>
  <si>
    <t xml:space="preserve"> "№3 орта мектеп" КММ Жарықтандыру шамдарын жарықдиодты шамдарына ауыстыру</t>
  </si>
  <si>
    <t>Балауса балабақшасы " МКҚК жарықтандыруды жарықдиодты шамдарға ауыстыру</t>
  </si>
  <si>
    <t>Жамбыл облысы Байзақ ауданының білім бөлімі ММ</t>
  </si>
  <si>
    <t>"Жамбыл облысы Байзақ ауданының білім бөлімі" ММ</t>
  </si>
  <si>
    <t>"Ш. Уәлиханов атындағы орта мектеп" КММ көше жарығын жаңғырту және пайдалану</t>
  </si>
  <si>
    <t>"Түймекент орта мектебі "КММ көше жарығын жаңғырту және пайдалану</t>
  </si>
  <si>
    <t>"№4 "Болашақ" ЖББОМ" КММ</t>
  </si>
  <si>
    <t>Степногорск қ." № 4" Болашақ"ЖББОМ" КММ жаңғырту және жетілдіру</t>
  </si>
  <si>
    <t>Автоматтандырылған жылу пунктін (АЖБ)орнату</t>
  </si>
  <si>
    <t>"Ақмола облысы Білім басқармасының Есіл ауданы бойынша білім бөлімі" ММ</t>
  </si>
  <si>
    <t>"Есіл қаласы, жетім балалар мен ата-анасының қамқорлығынсыз қалған балаларға арналған №2 Балалар үйі" КММ көше жарығын жаңғырту және пайдалану</t>
  </si>
  <si>
    <t>"№3 арнайы мектеп - интернаты"ММ жаңғырту және пайдалану</t>
  </si>
  <si>
    <t>"Балауса балабақшасы"МКҚК</t>
  </si>
  <si>
    <t>"Қостанайюжэлектросервис"КМК</t>
  </si>
  <si>
    <t>"WEISS INDUSTRIAL TECHNIK (KAZAKHSTAN)"ЖШС</t>
  </si>
  <si>
    <t>"Өскемен құс фабрикасы" АҚ</t>
  </si>
  <si>
    <t>ТОО "Монолист Астана-А"</t>
  </si>
  <si>
    <t>"Петропавл қаласы әкімдігінің білім бөлімі" ММ</t>
  </si>
  <si>
    <t>"№3 арнайы мектеп-интернаты " ММ</t>
  </si>
  <si>
    <t>"№9 орта мектеп"КММ жаңғырту және эсплутациялау</t>
  </si>
  <si>
    <t>"Дарын" мектеп-лицейі " КММ жаңғырту және эсплутациялау</t>
  </si>
  <si>
    <t>Жарықтандыру жүйесін жаңарту</t>
  </si>
  <si>
    <t>уличные светильник-47шт</t>
  </si>
  <si>
    <t>206 шт</t>
  </si>
  <si>
    <t>тонн (уголь)</t>
  </si>
  <si>
    <t>15,5 (т.у.т. 9,7)</t>
  </si>
  <si>
    <t>Kyzylorda Electrosetstroy LLPP/ТОО "Кызылорда-Электросетьстрой"</t>
  </si>
  <si>
    <t>Замена отопительного котла</t>
  </si>
  <si>
    <t>Модернизация системы освещения (60 шт.)</t>
  </si>
  <si>
    <t>Замена ламп освещения на светодиодные светильники КГУ "Средняя школа № 3"</t>
  </si>
  <si>
    <t>Модернизация и эксплутация внутреннего освещения адм.здания</t>
  </si>
  <si>
    <t xml:space="preserve">Модернизация и эксплутация внутреннего освещения в ГКП на ПВХ «Городская поликлиника № 8» </t>
  </si>
  <si>
    <t>Внедрение датчиков присутствия на улице, в коридорах и технических помещениях</t>
  </si>
  <si>
    <t>Модернизация блочно-модульных котельных</t>
  </si>
  <si>
    <t>Модернизация и эксплутация системы уличного освещения Сузакского района Туркестанской области</t>
  </si>
  <si>
    <t>Модернизация и эксплутация системы уличного освещения Сузакского района Туркестанской области (206 шт.)</t>
  </si>
  <si>
    <t xml:space="preserve">Модернизация блочно-модульных котельных г. Есик, 1 мкр., жилые дома д.№1, №2, №3, №4, №5, №6, №7, №10, №13, №9, №11, №18, №18а </t>
  </si>
  <si>
    <t>Модернизация блочно-модульных котельных г. Есик, 3 мкр., жилые дома д.№10а, №10, №93, №93а, №46, №9а, №5, №16, №20, №21, №6, №12, 4- мкр., №5, №6, №46, 2 дома б/н</t>
  </si>
  <si>
    <t>Модернизация блочно-модульных котельных г. Есик, 2 мкр., жилые дома д.№15, №19, №21, №21а, №17, №16, №14, №20, №22, №23, №24</t>
  </si>
  <si>
    <t>Модернизация блочно-модульных котельных г. Есик, по улице Талгарская д.№1, №7, №3, по улице Астана №103а, №105а, №101а, №99а, по улице Алматинская д. №209а</t>
  </si>
  <si>
    <t>Модернизация блочно-модульных котельных г. Есик, 3 мкр., жилые дома д.№2, №3, №4, №9, №25, №29, №13, №13а; ул. Марат, №78, №80, №82, д. №92, №92а, №84, №86</t>
  </si>
  <si>
    <t>Благоустройство территории</t>
  </si>
  <si>
    <t xml:space="preserve">НАО "Западно-Казахстанский медицинский университет имени Марата Оспанова" г. Актобе </t>
  </si>
  <si>
    <t>Модернизация системы освещения "ДОЦ "Парус"</t>
  </si>
  <si>
    <t>Модернизация системы отопления "ДОЦ "Парус"</t>
  </si>
  <si>
    <t>Модернизация системы водоснабжения "ДОЦ "Парус"</t>
  </si>
  <si>
    <t>Реконструкция электрических сетей 0,45 кВ в селе Челгаши Карасуского района Костанайской области</t>
  </si>
  <si>
    <t>Установка в селе Челгаши стоек железабетонных СВ 95-2а 466 шт., стоек железабетонных СВ 105 2 шт.</t>
  </si>
  <si>
    <t>Автоматизированная система коммерческого учета электроэнергии КГП "Костанайюжэлектросервис" в рамках проекта "Организация прямых телефонных каналов связи диспетчерского пункта КГП  "Костанайюжэлектросервис" с диспетчерским пунктом РДЦ филиала АО "КЕГОК" Сарбайские межсистемные электрические сети"</t>
  </si>
  <si>
    <t>Модернизация освещения на объектах ТОО "Казэнергострой" в г. Алматы</t>
  </si>
  <si>
    <t>Модернизация системы освещения на автозаправках</t>
  </si>
  <si>
    <t>Модернизация системы освещения на автозаправках г. Алматы</t>
  </si>
  <si>
    <t>Модернизация системы освещения на территории месторождения АО "Эмбамунайгаз" в г. Атырау</t>
  </si>
  <si>
    <t>Модернизация освещения на автодорогах г. Нур-Султан</t>
  </si>
  <si>
    <t>Модернизация системы освещения Президентской автодороги в аэропорт г. Нур-Султан</t>
  </si>
  <si>
    <t>Модернизация системы освещения на объектах ТОО "Казэлектростройсервис" в г. Алматы</t>
  </si>
  <si>
    <t>Модернизация уличного освещения в районных центрах Восточно-Казахстанской области</t>
  </si>
  <si>
    <t>Проект развития систем уличного освещения в городах и районных центрах Восточно-Казахстанской области (г. Риддер, г. Алтай, г. Аягоз, г. Шыманайха, г. Зайсан, с. Карауыл, с. Бородульха, с. Бескарагай, с. Глубокое, с. Калбатау, с.Кокпекті, с. Курчум, с. Улкен-Нарын, с. Аксуат,с. Урджар, п. Касым-Кайсенов (замена 10 тыс.светильников, 617 опор, 192 км кабеля и 353 шкафов))</t>
  </si>
  <si>
    <t>Замена поршневых насосов типа НБ-125 с электродвигателями 55-75 кВт на один центробежный насос ЦНС-105-147 с электродвигателем 110 кВт на ГУ на м/р "Каламкас"</t>
  </si>
  <si>
    <t xml:space="preserve">Замена светильников наружного - (400 шт) и внутреннего - (2700 шт) освещения на светодиодные </t>
  </si>
  <si>
    <t>Модернизация систем освещения</t>
  </si>
  <si>
    <t>Модернизация системы теплоснабжения КГУ «Общеобразовательная средняя школа им. М.Кайырбаева» Актогайского района»</t>
  </si>
  <si>
    <t>КГУ «Сельский клуб села Киялы"</t>
  </si>
  <si>
    <t>Модернизация системы теплоснабжения</t>
  </si>
  <si>
    <t>Обследование системы уличного освещения города Форт - Шевченко</t>
  </si>
  <si>
    <t>Модернизация уличного освещения города Форт - Шевченко  (1434 ед. светильника)</t>
  </si>
  <si>
    <t xml:space="preserve">Газификация зданий районной электрической сети ст. Шиели Кызылординской дистанции элекроснабжения филиала АО "НК "КТЖ" - "Кызылординское отделение магистральной сети" </t>
  </si>
  <si>
    <t>Модернизация системы уличного освещения города Аркалык</t>
  </si>
  <si>
    <t>Модернизация системы уличного освещения города Аркалык (1745 ед. светильников)</t>
  </si>
  <si>
    <t>Модернизация системы уличного освещения города Сатпаев</t>
  </si>
  <si>
    <t>Модернизация системы уличного освещения города Сатпаев (1454 ед. светильников)</t>
  </si>
  <si>
    <t>«Модернизация системы уличного освещения в городе Кентау»</t>
  </si>
  <si>
    <t>Модернизация системы уличного освещения в городе Кентау (1168 ед. светильников)</t>
  </si>
  <si>
    <t>Модернизация и эксплуатация КГУ «Школа-лицей № 66» г. Караганда»</t>
  </si>
  <si>
    <t>Модернизация и эксплуатация 
КГУ «Средняя Общеобразовательная Школа № 23»  г. Караганда»</t>
  </si>
  <si>
    <t>Модернизация и эксплутация системы освещения и теплоснабжения ГККП "Вячеславский детский сад "Василек"</t>
  </si>
  <si>
    <t>Модернизация и эксплутация системы освещения КГУ «Школа № 17»  г. Караганда</t>
  </si>
  <si>
    <t>Модернизация и эксплутация системы освещения КГУ «Школа-лицей «Дарын»</t>
  </si>
  <si>
    <t xml:space="preserve">Модернизация и эксплутация наружного освещения КГУ «Детский дом № 2 для детей сирот и детей оставшихся без попечения родителей», город Есиль </t>
  </si>
  <si>
    <t>Модернизация и эксплутация наружного освещения ГУ «Специальная школа - интернат № 3»</t>
  </si>
  <si>
    <t>Модернизация и эксплутация системы наружного освещения и тепоснабжения Средней школы № 83</t>
  </si>
  <si>
    <t>Модернизация и эксплутация  системы наружного освещения и тепоснабжения КГУ «ОСШЛИ № 4 «Болашак»» г. Степногорск»»</t>
  </si>
  <si>
    <t>Модернизация и эксплутация системы наружного освещения и тепоснабжения КГУ «Средняя школа № 9»</t>
  </si>
  <si>
    <t>Модернизация и эксплутация наружного освещения КГУ "Средняя школа Туймекент"</t>
  </si>
  <si>
    <t>Модернизация и эксплутация наружного освещения КГУ "Средняя школа имени Ш.Уалиханова"</t>
  </si>
  <si>
    <t>Модернизация системы освещения на автодорогах г. Алматы</t>
  </si>
  <si>
    <t>Модернизация и реконструкция Комплекса "Метраном"</t>
  </si>
  <si>
    <t>Модернизация и реконструкция Комплекса "Керамин"</t>
  </si>
  <si>
    <t>Модернизация системы теплоснабжения КГУ «Сельский клуб села Киялы»</t>
  </si>
  <si>
    <t>Модернизация системы уличного освещения города Риддер</t>
  </si>
  <si>
    <t>Модернизация системы уличного освещения города Темиртау</t>
  </si>
  <si>
    <t>Замена световых приборов люминесцентных ламп, прожекторов и ламп накаливания подрядной организацией на LED светильники на объектах Международного аэропорта Алматы (на 9 объектах аэропорта были заменены на светодиодное освещение LED, лампы накаливания типа ЛПО, MRA-136, MRA-118, MRA-236, MRA-158, BRIO, КГ-150 и ДВО в помещениях: Пассажирского терминала, авиатехнического центра, АБК, склады временного хранения, ВМО, автопаркинг, зона прилета местных авиалиний, бизнес-центр, гостиница Аксункар</t>
  </si>
  <si>
    <t>ГУ «Управление энергетики и жилищно-коммунального хозяйства города Шымкент»</t>
  </si>
  <si>
    <t>Замена 4281 светоточек</t>
  </si>
  <si>
    <t>Модернизация системы уличного освещения города Сарань</t>
  </si>
  <si>
    <t>Модернизация системы уличного освещения города Аксай</t>
  </si>
  <si>
    <t>Строительство, реконструкция и эксплуатация системы уличного освещения города Шымкент</t>
  </si>
  <si>
    <t>«Строительство и эксплуатация сетей уличного освещения в городе Атырау (протяженностью – 148 525 метра)», а именно: протяженность улиц - 148 525 метр, в том числе ВЛ -10кВ-5000 м. ВЛ-0,4 кВ - 170 000 м., 20 ед. Трансформаторных подстанций КТПН мачтового типа, 5000 ед. светодиодных светильников 150 Вт/18000 Лм с модулями передачи данных по каналу, 75 ед. шкафа управления наружным освещением</t>
  </si>
  <si>
    <t>Модернизация сетей уличного освещения</t>
  </si>
  <si>
    <t>Модернизация системы освещения цеха производства аммиака ПАМ завода АО КазАзот</t>
  </si>
  <si>
    <t>Модернизация системы уличного освещения в городе Петропавловск Северо-Казахстанской области</t>
  </si>
  <si>
    <t xml:space="preserve">Модернизация системы уличного освещения в городе Петропавловск </t>
  </si>
  <si>
    <t>Модернизация системы уличного освещения города Тобыл</t>
  </si>
  <si>
    <t xml:space="preserve">Модернизация наружного освещения производственной базы ТОО ПКФ "Ульба-Электро"
</t>
  </si>
  <si>
    <t>Модернизация наружного освещения производственной базы</t>
  </si>
  <si>
    <t>Модернизация системы уличного освещения в городе Семей</t>
  </si>
  <si>
    <t>Модернизация системы уличного освещения (замена 7659 светильников, 687 опор, 130 км кабеля, 196 шкафов)</t>
  </si>
  <si>
    <t xml:space="preserve">Модернизация системы уличного освещения в городе Усть-Каменогорск </t>
  </si>
  <si>
    <t>Модернизация системы уличного освещения (замена 14 632 светильников, 212 км кабеля, 214 шкафов)</t>
  </si>
  <si>
    <t xml:space="preserve">Установка Автоматизированного теплового узла здания управления предприятия </t>
  </si>
  <si>
    <t>Автоматизация освещения по технологическим линиям</t>
  </si>
  <si>
    <t>Модернизация АО "Агромашхолдинг"</t>
  </si>
  <si>
    <t>Модернизация и эксплуатация уличного освещения Сузакского района Туркестанской области</t>
  </si>
  <si>
    <t>Модернизация ГУ "Башмачинская ОСШ Железинского района"   ГУ «Управление энергетики и жилищно-коммунального хозяйства Павлодарской области»</t>
  </si>
  <si>
    <t>Модернизация системы освещения ТОО «СП«CASPI BITUM»</t>
  </si>
  <si>
    <t>Модернизация сетей уличного освещения города Талдыкорган и доверительное управление им" ГУ "Управление энергетики и жилищно-коммунального хозяйства акимата Алматинской области"</t>
  </si>
  <si>
    <t>Модернизация сетей уличного освещения города Текели и доверительное управление им" ГУ "Управление энергетики и жилищно-коммунального хозяйства акимата Алматинской области"</t>
  </si>
  <si>
    <t>Модернизация сетей уличного освещения города Капшагай и доверительное управление им" ГУ "Управление энергетики и жилищно-коммунального хозяйства акимата Алматинской области"</t>
  </si>
  <si>
    <t>Модернизация сетей уличного освещения Ескельдинского района и доверительное управление им" ГУ "Управление энергетики и жилищно-коммунального хозяйства акимата Алматинской области"</t>
  </si>
  <si>
    <t>Модернизация системы теплоснабжения ИП Ибрай С.Н.</t>
  </si>
  <si>
    <t>Модернизация ТОО «Шахтинскводоканал»</t>
  </si>
  <si>
    <t>Установка устройств плавного пуска эл.двигателей 30 кВт и 75 кВт-4 шт./ Установка устройств частотного регулятора на центробежных насосах</t>
  </si>
  <si>
    <t>Установка конденсаторных установок в Бейнуском ЛПУ КТП - 6/0,4 кВ"</t>
  </si>
  <si>
    <t>Модернизация системы освещения АО «Аралтуз»</t>
  </si>
  <si>
    <t>Модернизация, эксплуатация и текущий ремонт сетей наружного освещения города Павлодар</t>
  </si>
  <si>
    <t>Модернизация системы освещения в г. Атырау (106 км)</t>
  </si>
  <si>
    <t>Строительство и эксплуатация сетей уличного освещения в Атырау, а именно: 106 км. электрических сетей (на базе СИП 4), в том числе ВЛ 10 кВ; 20 ед.трансформаторных подстанций КТПН маточного типа; 2816 ед.опор освещения СТ-08 горячего оцинкования; 2816 ед.светодиодных светильников 150 Вт/18000 Лм; 42 ед.шкафа управления наружным освещением с передачей данных (38 участков)</t>
  </si>
  <si>
    <t xml:space="preserve">ГКП на праве хозяйственного ведения "Городская Поликлиника № 6" Управления здравоохранения Кызылординской области            </t>
  </si>
  <si>
    <t xml:space="preserve">ГКП на праве хозяйственного ведения "Актауская городская поликлиника № 2" Управление здравоохранения Мангистауской области"  </t>
  </si>
  <si>
    <t>Модернизация систем освещения и отопления КГП на ПХВ «Городская поликлиника № 2» (установка автоматизированного теплового пункта)</t>
  </si>
  <si>
    <t>"Аршалы ауданы бойынша білім бөлімі" ММ</t>
  </si>
  <si>
    <t>"Вячеслав "Василек"балабақшасы" МКҚК жарықтандыру және жылумен жабдықтау жүйесін жаңғырту және пайдалану</t>
  </si>
  <si>
    <t>Жарықтандыру жүйесін жаңғырту (60 дана)</t>
  </si>
  <si>
    <t>Жылыту қазандығын ауыстыру</t>
  </si>
  <si>
    <t>Қарағанды қ.. "№ 17 мектеп" КММ</t>
  </si>
  <si>
    <t>Қарағанды қ." № 23 жалпы орта білім беру мектебі"КММ</t>
  </si>
  <si>
    <t>Қарағанды қ. "№ 17 мектеп" КММ жарықтандыру жүйесін жаңғырту және пайдалану</t>
  </si>
  <si>
    <t>Кентау қаласындағы көше жарықтандыру жүйесін жаңғырту (1168 бірлік шам)</t>
  </si>
  <si>
    <t>"Кентау қаласындағы көшелерді жарықтандыру жүйесін жаңғырту"</t>
  </si>
  <si>
    <t>Қарағанды қ. "№ 66 мектеп-лицейі" КММ жаңғырту және пайдалану</t>
  </si>
  <si>
    <t>Қарағанды қ. "№ 23 жалпы орта білім беру мектебі" КММ жаңғырту және пайдалану</t>
  </si>
  <si>
    <t>Қарағанды қ." № 66 мектеп-лицейі"КММ</t>
  </si>
  <si>
    <t>"Кентау қаласының Тұрғын үй-коммуналдық шаруашылығы, жолаушылар көлігі, автомобиль жолдары және тұрғын үй инспекциясы"ММ</t>
  </si>
  <si>
    <t>Энергетикалық ресурстарды ақшалай түрде үнемдеу (млн. теңге)</t>
  </si>
  <si>
    <t>Строительство и эксплуатация освещения университета имени Марата Оспанова (19 опор, светильники уличные светодиодные типа  LED-150-К/К50, мощность 150 Вт, IP65 СТ РК 2942-2016  - 19 шт, светильники уличные светодиодные типа LED 100-ШБ (ШО)/У50 (У60), мощность 100 Вт, IP65, СТ РК 2942-2016  - 28 шт.</t>
  </si>
  <si>
    <t>ГУ "Отдел образования Байзакского района Жамбылской области" отызбаева</t>
  </si>
  <si>
    <t>ГУ «Отдел образования акимата Аральского района Кызылординской области» отызбаева</t>
  </si>
  <si>
    <t>КГУ «ОСШЛИ № 4 «Болашак»» серикжан</t>
  </si>
  <si>
    <t>ГУ "Отдел образования по Есильскому району управления образования Акмолинской области" серикжан</t>
  </si>
  <si>
    <t>ГУ "Специальная школа - интернат № 3" серикжан</t>
  </si>
  <si>
    <t>ГУ «Отдел образования акимата города Петропавловска» ербол</t>
  </si>
  <si>
    <t>ГУ «Отдел образования по Аршалынскому району» ербол</t>
  </si>
  <si>
    <t>КГУ «Школа № 17» г. Караганда малыбай</t>
  </si>
  <si>
    <t>КГУ «Средняя Общеобразовательная Школа № 23» г. Караганда» малыбай</t>
  </si>
  <si>
    <t>КГУ «Школа-лицей № 66» г. Караганда» малыбай</t>
  </si>
  <si>
    <t>ГУ "Жилищно-коммунального хозяйства, пассажирского транспорта, автомобильных дорог и жилищной инспекции города Кентау" малыбай</t>
  </si>
  <si>
    <t>Модернизация системы освещения «Аксуский Завод ферросплавов» - филиал АО «ТНК «КАЗХРОМ»</t>
  </si>
  <si>
    <t>Модернизация системы освешенияТОО «Богатырь Комир»</t>
  </si>
  <si>
    <t>ИТОГИ за 2023 год</t>
  </si>
  <si>
    <t>вэд</t>
  </si>
  <si>
    <t>ТОО "Maker"</t>
  </si>
  <si>
    <t>Модернизация ТОО "Maker"</t>
  </si>
  <si>
    <t xml:space="preserve">1. Замена светодиодных светильников по территории </t>
  </si>
  <si>
    <t>горнодобывающая</t>
  </si>
  <si>
    <t xml:space="preserve">2. Замена светодиодных светильников в цехе №7 </t>
  </si>
  <si>
    <t>3. Замена светодиодных светильников в цехе Гидравлика</t>
  </si>
  <si>
    <t>ТОО «Зерде-Керамика»</t>
  </si>
  <si>
    <t>Модернизация ТОО «Зерде -Керамика»</t>
  </si>
  <si>
    <t xml:space="preserve">Замена светодиодных светильников </t>
  </si>
  <si>
    <t>производство продукции</t>
  </si>
  <si>
    <t>ТОО "Экосервис-2030"</t>
  </si>
  <si>
    <t>Модернизация ИП "Оташева"</t>
  </si>
  <si>
    <t>Модернизация АО "Казахтелеком"</t>
  </si>
  <si>
    <t>ТОО НПФ "Эргономика"</t>
  </si>
  <si>
    <t>Модернизация ТОО НПФ "Эргономика"</t>
  </si>
  <si>
    <t>Замена  светильников на светодиодные</t>
  </si>
  <si>
    <t>Модернизация АО "Мангистаумунайгаз"</t>
  </si>
  <si>
    <t xml:space="preserve">1. Замена светильников наружного освещения на светодиодные </t>
  </si>
  <si>
    <t>промышленность</t>
  </si>
  <si>
    <t xml:space="preserve">2. Замена светильников внутреннего освещения на светодиодные </t>
  </si>
  <si>
    <t>3. Замена ламп на светодиодные</t>
  </si>
  <si>
    <t>АО "Озенмунайгаз"</t>
  </si>
  <si>
    <t>Модернизация АО "Озенмунайгаз"</t>
  </si>
  <si>
    <t>1 Замена светильников на светодиодные светильники</t>
  </si>
  <si>
    <t>2. Замена электродвигателей насосов на НГДУ-1 на новые энергосберегающие электродвигатели</t>
  </si>
  <si>
    <t>ТОО "Брендт"</t>
  </si>
  <si>
    <t>Модернизация ЗИФ ТОО "Брендт"</t>
  </si>
  <si>
    <t>Внедрение систем управления электродвигателем частотными преобразователями</t>
  </si>
  <si>
    <t>ТОО "Южпромснаб"</t>
  </si>
  <si>
    <t>Модернизация ТОО "Южпромснаб</t>
  </si>
  <si>
    <t>Установка светодиодных  светильников</t>
  </si>
  <si>
    <t>транспорт</t>
  </si>
  <si>
    <t>Компания «Норт Каспиан Оперейтинг Компани Н.В.»</t>
  </si>
  <si>
    <t>Модернизация Компании «Норт Каспиан Оперейтинг Компани Н.В.»</t>
  </si>
  <si>
    <t>1. Реконструкция системы внутреннего освещения с заменой трубчатых люминесцентных ламп на LED</t>
  </si>
  <si>
    <t xml:space="preserve">2. Замена светильников в цехах базы Баутино </t>
  </si>
  <si>
    <t>3. Замена ламп внутреннего освещения в АУЦ</t>
  </si>
  <si>
    <t>4. Замена прожекторов уличного освещения в АУЦ</t>
  </si>
  <si>
    <t>Петропавловское отделение ЮУЖД</t>
  </si>
  <si>
    <t>Модернизация  «Петропавловское отделение ЮУЖД»</t>
  </si>
  <si>
    <t>1.Установка датчиков освещения</t>
  </si>
  <si>
    <t>2.Установка фотореле на уличное освещение</t>
  </si>
  <si>
    <t>ТОО "Востокцветмет"</t>
  </si>
  <si>
    <t>Модернизация ТОО «Востокцветмет»</t>
  </si>
  <si>
    <t>1. Замена люминисцентных ламп на светодиодные на Иртышском руднике</t>
  </si>
  <si>
    <t>2. Замена люминисцентных ламп на светодиодные на АПК</t>
  </si>
  <si>
    <t>TOO «TEDOM Central Asia»</t>
  </si>
  <si>
    <t>Модернизация
"Крахмало-паточного завода" г.Жаркент</t>
  </si>
  <si>
    <t>Применение когенерационно газопоршневой
установки</t>
  </si>
  <si>
    <t>торговля</t>
  </si>
  <si>
    <t>Модернизация
"Крахмало-паточного завода" г. Аксай</t>
  </si>
  <si>
    <t>ИП «Gain technology»</t>
  </si>
  <si>
    <t>Замена освещения</t>
  </si>
  <si>
    <t>ТОО "Сапро-Нат"</t>
  </si>
  <si>
    <t>Модернизация ГУ «Аппарат акима Власовского сельского округа Аккайынского района Северо-Казахстанской области»</t>
  </si>
  <si>
    <t xml:space="preserve">Замена и установка твердотопливного котла
длительного горения (ТКДГ) </t>
  </si>
  <si>
    <t>Модернизация ГУ «Отдел внутренних дел Аккайынского района Департамента внутренних дел Северо-Казахстанской области»</t>
  </si>
  <si>
    <t>Модернизация КГП на ПХВ «Аккайынская центральная районная больница»</t>
  </si>
  <si>
    <t>Модернизация КГУ «Аккайынский районный отдел образования»</t>
  </si>
  <si>
    <t>Модернизация КГУ «Аппарат Маслихата Аккайынского района» Северо-Казахстанской области»</t>
  </si>
  <si>
    <t>Модернизация КГУ «Отдел образования акимата Тайыншинского района Северо-Казахстанской области»</t>
  </si>
  <si>
    <t>Модернизация КГУ «Отдел образования района Магжана Жумабаева Северо-Казахстанской области»</t>
  </si>
  <si>
    <t>Модернизация КГУ «Централизованная библиотечная система Аккайынского района» Северо-Казахстанской области»</t>
  </si>
  <si>
    <t>ТОО «Иностранное предприятие «Хамле компани ЛТД»</t>
  </si>
  <si>
    <t>Модернизация ТОО «Иностранное предприятие «Хамле компани ЛТД»</t>
  </si>
  <si>
    <t>1. Замена ламп ДРЛ на светодиодные в системе наружного освещения</t>
  </si>
  <si>
    <t>2. Замена ЛЛ внутреннего освещения на светодиодные в административном здании</t>
  </si>
  <si>
    <t>АО «Алматинский завод тяжелого машиностроения»</t>
  </si>
  <si>
    <t>«Модернизация системы освещения АО «Алматинский завод тяжелого машиностроения»</t>
  </si>
  <si>
    <t>1. Замена цехового освещения №40, 2, 12 существующих светильников ДРЛ-700 на светильники LED-150 Вт</t>
  </si>
  <si>
    <t>2. Замена освещения офисного помещения существующих светильников ЛБ 2х40Вт на светильники LED-36 Вт</t>
  </si>
  <si>
    <t>3. Замена уличного освещения существующих светильников ДРЛ-700Вт на светильники  LED - 100 Вт</t>
  </si>
  <si>
    <t>КГП «Атырау облысы су арнасы»</t>
  </si>
  <si>
    <t>Модернизация КГП «Атырау облысы су арнасы»</t>
  </si>
  <si>
    <t>Установка компенсатора реактивной мощности (КРМ)</t>
  </si>
  <si>
    <t>ТОО «Сенимди Курылыс»</t>
  </si>
  <si>
    <t>Модернизация ТОО «Сенимди Курылыс»</t>
  </si>
  <si>
    <t>1. Замена люминесцентных светильников 18Втх2 на светодиодные светильники внутри здания (кВт*ч) (550штук)</t>
  </si>
  <si>
    <t>2. Замена люминесцентных светильников 18Втх4 на светодиодные светильники внутри здания (кВт*ч) (550 штук)</t>
  </si>
  <si>
    <t>3. Замена люминесцентных светильников 36Втх2 на светодиодные светильник-1200 штук, кВт*ч</t>
  </si>
  <si>
    <t>4. Замена люминесцентных светильников 18Втх1 на светодиодные светильники внутри здания (кВт*ч) (190 штук)</t>
  </si>
  <si>
    <t>5. Замена прожекторов ДРЛ 250 Вт (220шт) на светодиодные светильники Консольный IP65 100 Вт 5000К; (кВт*ч)</t>
  </si>
  <si>
    <t>6. Установка светильника с датчиком движения, на лестничную площадку на блоках 5.4   5.10-90шт (кВт*ч)</t>
  </si>
  <si>
    <t>7. Установка датчика фотореле на уличные прожектора -50 штук</t>
  </si>
  <si>
    <t>ТОО "Стандарт цемент"</t>
  </si>
  <si>
    <t>Модернизация ТОО "Стандарт цемент"</t>
  </si>
  <si>
    <t>Внедрение частотно-регулируемого привода вентиляторного оборудования</t>
  </si>
  <si>
    <t xml:space="preserve">ТОО «Оңтүстік Жарық Транзит» </t>
  </si>
  <si>
    <t xml:space="preserve">Модернизация ТОО «Оңтүстік Жарық Транзит» </t>
  </si>
  <si>
    <t>Замена перегруженных, установка и ввод в работу дополнительных силовых трансформаторов на действующих ТП, КТП 10-6 кВ</t>
  </si>
  <si>
    <t>ГУ "Управление энергетики и жилищно-коммунального хозяйства Атырауской области"</t>
  </si>
  <si>
    <t>Модернизация, строительство и эксплуатация сетей уличного освещения в городе Атырау (протяженность-319 068 метр)</t>
  </si>
  <si>
    <r>
      <rPr>
        <b/>
        <sz val="14"/>
        <rFont val="Times New Roman"/>
        <family val="1"/>
        <charset val="204"/>
      </rPr>
      <t>211-557</t>
    </r>
    <r>
      <rPr>
        <sz val="14"/>
        <rFont val="Times New Roman"/>
        <family val="1"/>
        <charset val="204"/>
      </rPr>
      <t>/</t>
    </r>
    <r>
      <rPr>
        <b/>
        <sz val="14"/>
        <rFont val="Times New Roman"/>
        <family val="1"/>
        <charset val="204"/>
      </rPr>
      <t>215-245-Нуржан</t>
    </r>
    <r>
      <rPr>
        <sz val="14"/>
        <rFont val="Times New Roman"/>
        <family val="1"/>
        <charset val="204"/>
      </rPr>
      <t xml:space="preserve">/211-868/ </t>
    </r>
    <r>
      <rPr>
        <b/>
        <sz val="14"/>
        <rFont val="Times New Roman"/>
        <family val="1"/>
        <charset val="204"/>
      </rPr>
      <t>215-441/211-284</t>
    </r>
  </si>
  <si>
    <t xml:space="preserve">ГУ "Отдел образования по Каратальскому району Управления образования Алматинской области" </t>
  </si>
  <si>
    <t xml:space="preserve">ГККП "Детский сад Балауса" </t>
  </si>
  <si>
    <t xml:space="preserve">ТОО "Темирбетон-1" города Алматы </t>
  </si>
  <si>
    <t xml:space="preserve">ГУ "Управление энергетики и жилищно-коммунального хозяйства Туркестанской  области" </t>
  </si>
  <si>
    <t xml:space="preserve">ГКП на ПВХ «Городская поликлиника № 8» г. Шымкент </t>
  </si>
  <si>
    <t xml:space="preserve">ТОО "СКЭП" </t>
  </si>
  <si>
    <t xml:space="preserve">ИП "Парус" </t>
  </si>
  <si>
    <t xml:space="preserve"> ТОО "ЮВАС" </t>
  </si>
  <si>
    <t xml:space="preserve">ГУ "Отдел жилищно - коммунального хозяйства, пассажирского транспорта, автомобильных дорог и жилищной инспекции акимата Карасуского района" </t>
  </si>
  <si>
    <t xml:space="preserve">КГП "Костанайюжэлектросервис" ГУ "Управление энергетики и жилищно - коммунального хозяйства акимата Костанайской области" </t>
  </si>
  <si>
    <t>Установка автоматизированных тепловых пунктов (АТП)</t>
  </si>
  <si>
    <t>Жетысуская область</t>
  </si>
  <si>
    <t>Модернизация ИП «Gain technology»</t>
  </si>
  <si>
    <t>2023 год</t>
  </si>
  <si>
    <t>Всего</t>
  </si>
  <si>
    <t>Обьем инвестиций (млн.тенге)</t>
  </si>
  <si>
    <t>Годовая экономия энергетических ресурсов в натуральном выражении</t>
  </si>
  <si>
    <t>Годовая экономия энергетических ресурсов в денежном выражении (млн. тенге)</t>
  </si>
  <si>
    <t>Срок окупаемости, год</t>
  </si>
  <si>
    <t>Статус проекта</t>
  </si>
  <si>
    <t>Общая стоимость проекта (млн.тенге)</t>
  </si>
  <si>
    <t>Отрасль/сфера экономики</t>
  </si>
  <si>
    <t>Строительство и эсплуатация сетей уличного освещения в городе Атырау (протяженность - 270 027  метра)</t>
  </si>
  <si>
    <t xml:space="preserve">Строительство и эсплуатация сетей уличного освещения в городе Атырау (протяженность - 270 028 метра, 9  тысяч светильников) </t>
  </si>
  <si>
    <t>ГУ "Управление энергетики и жилищно-коммунального хозяйства области Жетысу"</t>
  </si>
  <si>
    <t>куб.м.</t>
  </si>
  <si>
    <t>Область Жетысу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</si>
  <si>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ул.Сатпаева №233, г. Жаркент Панфиловского района 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</si>
  <si>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ул.Жибек жолы №10, г. Жаркент Панфиловского района 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</si>
  <si>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ул.Жибек жолы №34, г. Жаркент Панфиловского района 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</si>
  <si>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ул.Жибек жолы №77, г. Жаркент Панфиловского района 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</si>
  <si>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ул.Уалиханова №155, г. Жаркент Панфиловского района </t>
  </si>
  <si>
    <t xml:space="preserve">Строительство и сервисное обслуживание автономной блочно-модульной котельной на газе для теплоснабжения многоквартирного жилого дома по адресу ул.Юлдашева №28, г. Жаркент Панфиловского района </t>
  </si>
  <si>
    <t>Модернизация котельной Власовской СШ, с. Власовка Аккаинского района</t>
  </si>
  <si>
    <t>т.н.т.</t>
  </si>
  <si>
    <t>Модернизация котельной Советской СШ, с. Советское района Жумабаева</t>
  </si>
  <si>
    <t>Модернизация котельной ГУ "Аппарат акима Аккаинского района", с. Смирново</t>
  </si>
  <si>
    <t>Модернизация котельной КГУ "ДК района Жумабаева", г. Булаево</t>
  </si>
  <si>
    <t>Модернизация котельной КГУ "ЦРБ района Жумабаева", г. Булаево</t>
  </si>
  <si>
    <t>Модернизация системы водоснабжения Атырау Су Арнасы</t>
  </si>
  <si>
    <t>Pumpаудит, замена насосных агрегатов с существующих на новые с оптимальным КПД, Установка шкафов управления с ЧРП, ПНР для достижения оптимального КПД</t>
  </si>
  <si>
    <t>ИТОГИ за 2024 год</t>
  </si>
  <si>
    <t>2024 год</t>
  </si>
  <si>
    <t>АО "Батыс-Транзит"</t>
  </si>
  <si>
    <t>ЖКХ</t>
  </si>
  <si>
    <t>ТОО "Jetisu Energy"</t>
  </si>
  <si>
    <t xml:space="preserve">БС </t>
  </si>
  <si>
    <t>АО "Мангистаугаз"</t>
  </si>
  <si>
    <t>АО "Петро Казахстан Кумколь Ресорсиз"</t>
  </si>
  <si>
    <t>ГКП на ПХВ "Областная детская многопрофильная больница"</t>
  </si>
  <si>
    <t>Замена светильников уличного освещения на светодиодные</t>
  </si>
  <si>
    <t>ГКП на ПХВ "Городская поликлиника №5"</t>
  </si>
  <si>
    <t>Установка АТП</t>
  </si>
  <si>
    <t>ГКП на ПХВ "Городская детская клиническая больница"</t>
  </si>
  <si>
    <t>Автоматические балансировочные клапана</t>
  </si>
  <si>
    <t>Замена люминесцентных светильников на светодиодные</t>
  </si>
  <si>
    <t>ГКП на ПХВ "Областная клиническая инфекционная больница"</t>
  </si>
  <si>
    <t>Замена ламп и светильников на светодиодные</t>
  </si>
  <si>
    <t>ГУ "Актюбинский областной специализированный лицей-интернат для одаренных детей им. М. Кусаинова"</t>
  </si>
  <si>
    <t>Замена люминесцентных светильников на светодиодные (школа)</t>
  </si>
  <si>
    <t>Автоматические балансировочные клапана (школа)</t>
  </si>
  <si>
    <t>Установка АТП (школа)</t>
  </si>
  <si>
    <t>Замена люминесцентных светильников на светодиодные (интернат)</t>
  </si>
  <si>
    <t>Автоматические балансировочные клапана (интернат)</t>
  </si>
  <si>
    <t>КГП "Теплоцентраль г. Серебрянск и п. Новая Бухтарма" акимата района Алтай</t>
  </si>
  <si>
    <t>КГП "Теплоцентраль г. Алтай" акимата района Алтай</t>
  </si>
  <si>
    <t>Установка ЧРП на электродвигателях ПСУ котлов №№ 3,4 районной котельной</t>
  </si>
  <si>
    <t>ТОО "Силикат"</t>
  </si>
  <si>
    <t>Модернизация произодственных процессов</t>
  </si>
  <si>
    <t>Установка и монтаж ЧРП на электродвигатель 55 квт дымосос №4</t>
  </si>
  <si>
    <t>Область Абай</t>
  </si>
  <si>
    <t>ТОО "Казахский газоперерабатывающий завод"</t>
  </si>
  <si>
    <t>ТОО "Батыс Пауэр"</t>
  </si>
  <si>
    <t>ТОО "Каспий цемент"</t>
  </si>
  <si>
    <t>ТОО "Разведка и добыча QazaqGaz"</t>
  </si>
  <si>
    <t>Замена люминесцентных ламп в жилых блоках (А,Б,В и 2 этаже)</t>
  </si>
  <si>
    <t>Установка ЧРП на приводах оборудования (УКПГ)</t>
  </si>
  <si>
    <t>ТОО "ЭПК Atica" (ЭПК Атика)</t>
  </si>
  <si>
    <t>Костанайска область</t>
  </si>
  <si>
    <t>Замена светильников с лампами накаливания и газоразрядными лампами на светодиодные светильники</t>
  </si>
  <si>
    <t>РГП на ПХВ "Дирекция административных зданий Администрации Президента и Правительства РК" УДП РК"</t>
  </si>
  <si>
    <t>Замена люминесцентных ламп на энергосберегающие лампы</t>
  </si>
  <si>
    <t>Применение теплоизоляционной краски</t>
  </si>
  <si>
    <t>Астана</t>
  </si>
  <si>
    <t>Замена светильников наружного на светодиодные</t>
  </si>
  <si>
    <t>Замена светильников внутреннего освещения на светодиодные</t>
  </si>
  <si>
    <t>Замена ламп накаливания и люминесцентных ламп со светильниками наружного освещения на светодиодные аналоги на обьектах г. Кызылорды</t>
  </si>
  <si>
    <t>Замена ламп накаливания и люминесцентных ламп со светильниками наружного освещения на светодиодные аналоги на м/р Кумколь</t>
  </si>
  <si>
    <t>ГККП "Областная клиническая инфекционная больница"</t>
  </si>
  <si>
    <t>Замена ламп уличного освещения на светодиодные</t>
  </si>
  <si>
    <t>Замена ламп освещения на светодиодные</t>
  </si>
  <si>
    <t>Замена ламп накаливания 100 вт на светодиодные лампы типа Е27</t>
  </si>
  <si>
    <t>АО Финансово-инвестиционная корпорация"Алел"</t>
  </si>
  <si>
    <t>ТОО "ДжейТиАй Казахстан"</t>
  </si>
  <si>
    <t>Замена отопительных котлов</t>
  </si>
  <si>
    <t xml:space="preserve">Алматинская область </t>
  </si>
  <si>
    <t>ИТОГИ за 2025 год</t>
  </si>
  <si>
    <t>2025 год</t>
  </si>
  <si>
    <t>ТОО «ASIA PARK»</t>
  </si>
  <si>
    <t>Внедрение энергоэффективных технологий для снижения потребления энергии на отопление здания ТРК «Азия Парк</t>
  </si>
  <si>
    <t>Модернизация витражей путем замены на теплосберегающее стекло</t>
  </si>
  <si>
    <t>ТОО «Авеста-Караганда</t>
  </si>
  <si>
    <t>Внедрение энергоэффективных технологий для снижения потребления энергии на отопление здания ТФЦ «Алтын арба»</t>
  </si>
  <si>
    <t>АО «Акмолатурист»</t>
  </si>
  <si>
    <t xml:space="preserve">Установка энергосберегающих окон с тройным остеклением» АО «Акмолатурист» </t>
  </si>
  <si>
    <t xml:space="preserve">Замена окон для повышения теплоизолирующих свойств ограждающих конструкций, путем установки пластиковых окон с тройным стеклопакетом </t>
  </si>
  <si>
    <t>Замена трансформаторов на центральной распределительной подстанции ЦРП-1</t>
  </si>
  <si>
    <t>Замена трансформаторов на центральной распределительной подстанции ЦРП-2</t>
  </si>
  <si>
    <t>кВт.ч в год</t>
  </si>
  <si>
    <t>Модернизация кровли путем замены на энергоэффективную</t>
  </si>
  <si>
    <t>Демонтаж кровли, утепление кровли путём напыления пеноизола, монтаж кровельного покрытия из металла на вновь смонтированные стропильную решётку (вместе со снегозадержанием)</t>
  </si>
  <si>
    <t>Термомодернизация наружных стен</t>
  </si>
  <si>
    <t>Утепление пола первого этажа, путём нанесения пеноизола, монтаж фасадных элементов (тепловая изоляция и декор)</t>
  </si>
  <si>
    <t>Повышение теплоизолирующих свойств ограждающих конструкций путем замены на пластиковые окна с тройным стеклопакетом</t>
  </si>
  <si>
    <t>Демонтаж существующих деревянных окон, и монтаж пластиковых окон с тройным стеклопакетом</t>
  </si>
  <si>
    <t>ТОО «Бескольская школа-колледж»</t>
  </si>
  <si>
    <t>Замена центрального отопления Бескольской школы-колледжа на котел на щепе</t>
  </si>
  <si>
    <t>Внедрение усовершенствованного котельного оборудования</t>
  </si>
  <si>
    <t>Внедрение электрооборудования с низким электропотреблением</t>
  </si>
  <si>
    <t>ТОО «Батыс Пауэр»</t>
  </si>
  <si>
    <t>ИТОГО 2025 год</t>
  </si>
  <si>
    <t>ГКП «Костанайская теплоэнергетическая компания» акимата города Костаная                       ГУ «Отдел жкх, пассажирского транспорта и автодорог акимата города Костаная»</t>
  </si>
  <si>
    <t>Капитальный ремонт энергооборудования малых котельных</t>
  </si>
  <si>
    <t>Капитальный ремонт водогрейного котла №1 на Котельной №4 с заменой секций</t>
  </si>
  <si>
    <t>Капитальный ремонт водогрейного котла №5 на Котельной №10 с заменой секций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</si>
  <si>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</si>
  <si>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t>Капитальный ремонт тепловых сетей</t>
  </si>
  <si>
    <t>«Капитальный ремонт тепловых сетей от Котельной №4»</t>
  </si>
  <si>
    <t>«Капитальный ремонт тепловых сетей от Котельной №6»</t>
  </si>
  <si>
    <t>«Капитальный ремонт участка тепловой сети от ТК 21.15 по ул. Совхозная до х.т. возле жилого дома №26 в 4 микрорайоне»</t>
  </si>
  <si>
    <t>«Капитальный ремонт участка тепловой сети от ТК 2.21 до х.т. возле жилого дома по пр. Аль-Фараби, 3»</t>
  </si>
  <si>
    <t>Капитальный ремонт энергооборудования Костанайской ТЭЦ</t>
  </si>
  <si>
    <t>«Капитальный ремонт турбины №2 на ТЭЦ с переоблопачиванием ротора»</t>
  </si>
  <si>
    <t>«Капитальный ремонт парового котла №1 на ТЭЦ с заменой пакетов пароперегревателя             1 и 2 ступеней»</t>
  </si>
  <si>
    <t>«Капитальный ремонт                                ПСВ 125-7-15 №2 на ТЭЦ с 100% заменой латунных трубок»</t>
  </si>
  <si>
    <t>«Капитальный ремонт                            ПСВ 200-7-15 №2 на ТЭЦ с 100% заменой латунных трубок»</t>
  </si>
  <si>
    <t>3 578 756</t>
  </si>
  <si>
    <t>4 436 000</t>
  </si>
  <si>
    <t>Замена на котел 350 кВт в котельной на объекте Узункольская СШ, район М. Жумабаева</t>
  </si>
  <si>
    <t>Замена на котел ТКДГ 220 кВт в котельной на объекте Ивановская СШ, Аккайынского района</t>
  </si>
  <si>
    <t>Замена на котел 350 кВт в котельной на объекте Ленинская СШ, Аккайынского района</t>
  </si>
  <si>
    <t>Замена на котел 350 кВт в котельной на объекте Надеждинская СШ, район М. Жумабаева</t>
  </si>
  <si>
    <t>Замена на котел ТКДГ 220 кВт в котельной на объекте Сартомарская СШ, район М. Жумабаева</t>
  </si>
  <si>
    <t>Замена на котел 350 кВт в котельной на объекте СШ №3 с. Смирново, Аккайынского района</t>
  </si>
  <si>
    <t>Внедрение программного комплекса «VOLNA BOILER» на газовых котельных г.Костанай с целью энергосбережения</t>
  </si>
  <si>
    <t xml:space="preserve">Тыс.м3 газа </t>
  </si>
  <si>
    <t>ТОО «Компания Цифровой МИР»</t>
  </si>
  <si>
    <t>Внедрение инновационной энергоэффективной системы вентиляции с рекуперацией тепловой энергией</t>
  </si>
  <si>
    <t>Модернизация системы вентиляции  путем замены на приточно-вытяжные установки с рекуперацией энергии отходящего воздуха</t>
  </si>
  <si>
    <t>ТОО «Оптима Трейд»</t>
  </si>
  <si>
    <t>Внедрение энергоэффективной системы кондиционирования здания с использованием современных климатических установок типа VRF. обеспечивающей снижение потребления электрических сетей от городских электросетей</t>
  </si>
  <si>
    <t>Квт*ч</t>
  </si>
  <si>
    <t xml:space="preserve">ГКП «Костанайская теплоэнергетическая компания» </t>
  </si>
  <si>
    <t>ГКП «Костанайская теплоэнергетическая компания»</t>
  </si>
  <si>
    <t>Договор доверительного управления с элементами эско</t>
  </si>
  <si>
    <t>ТОО «Фабрика света»</t>
  </si>
  <si>
    <t>Реконструкция, обслуживание и содержание систем наружного освещения города Кызылорда</t>
  </si>
  <si>
    <t>Реконструкция путем замены на энергосберегающие светодиодные светильники</t>
  </si>
  <si>
    <t>АО "Eurasian Foods Corporation"</t>
  </si>
  <si>
    <t>Мероприятия по энергоэффективности</t>
  </si>
  <si>
    <t xml:space="preserve">Замена люминесцентных и ДРЛ ламп на LED </t>
  </si>
  <si>
    <t xml:space="preserve">Модернизация отопления в цехе выработки воздуха </t>
  </si>
  <si>
    <t xml:space="preserve">Установка термочехлов в РАФ цехе на гребенке пара </t>
  </si>
  <si>
    <t xml:space="preserve">Настройка горелки по режимной карте </t>
  </si>
  <si>
    <t xml:space="preserve">Установка частотного преобразователя на вентилятор градирни </t>
  </si>
  <si>
    <t xml:space="preserve">Изоляция паровых трубопроводов </t>
  </si>
  <si>
    <t xml:space="preserve">Установка датчиков движения на освещение </t>
  </si>
  <si>
    <t xml:space="preserve">Модернизация отопления в ЦР (4-й этаж) </t>
  </si>
  <si>
    <t xml:space="preserve">Разделение включения освещения в ЦР на 2, 3 и 4 этажах </t>
  </si>
  <si>
    <t xml:space="preserve">Установка отсечных паровых клапанов на Фримах 4–6 </t>
  </si>
  <si>
    <t>город Алматы</t>
  </si>
  <si>
    <t xml:space="preserve">Режимная наладка котлов </t>
  </si>
  <si>
    <t xml:space="preserve">Замена люминесцентных ламп на LED </t>
  </si>
  <si>
    <t xml:space="preserve"> м³</t>
  </si>
  <si>
    <t>кВт·ч</t>
  </si>
  <si>
    <t>Замена существующих ламп системы освещения на светодиодные в общежитии</t>
  </si>
  <si>
    <t>ТОО "Асфальтобетон 1"</t>
  </si>
  <si>
    <t>НАО "Университет "Нархоз"</t>
  </si>
  <si>
    <t>Теплоизоляция емкостей хранения в сырьевом парке</t>
  </si>
  <si>
    <t>Установка ЧРП на дутьевые вентиляторы и дымососы АС</t>
  </si>
  <si>
    <t>Замена светильников с лампами накаливания и ДРЛ на светодиодные светильники</t>
  </si>
  <si>
    <t>АО "Актюбинский завод хромовых соединений"</t>
  </si>
  <si>
    <t xml:space="preserve">"Снижение потребления электроэнергии за счет реконструкций электрофильтра ТС-6 с 2-го печного конвейра" за 2023 год </t>
  </si>
  <si>
    <t>Город Актобе</t>
  </si>
  <si>
    <t xml:space="preserve">"Снижение потребления электроэнергии за счет реконструкций электрофильтра ТС-6 с 4-го печного конвейра" за 2024 год </t>
  </si>
  <si>
    <t>АО "КМК Мунай"</t>
  </si>
  <si>
    <t>Замена ламп внутреннего освещения на светодиодные</t>
  </si>
  <si>
    <t>ТОО " Стройдеталь"</t>
  </si>
  <si>
    <t>Внедрение парогенераторной установки</t>
  </si>
  <si>
    <t>Установка компенсации реактивной мощности (УКРМ)</t>
  </si>
  <si>
    <t>Модернизазия системы освещения</t>
  </si>
  <si>
    <t>Город Астана</t>
  </si>
  <si>
    <t>ГКП на ПХВ "Городской перинатальный центр"</t>
  </si>
  <si>
    <t>Город Шымкент</t>
  </si>
  <si>
    <t>Модернизация системы водоснабжения в корпусе №3</t>
  </si>
  <si>
    <t>ИП "Gain tehnology"</t>
  </si>
  <si>
    <t xml:space="preserve">Установка автоматизированного теплового пункта </t>
  </si>
  <si>
    <t>ГУ "Управление энергетики и жилищного-комунального хозяйство Атырауский области"</t>
  </si>
  <si>
    <t xml:space="preserve">Строительство и эксплуатация сетей уличного освещения в городе Кульсары </t>
  </si>
  <si>
    <t>Алматы облысы</t>
  </si>
  <si>
    <t>Маңғыстау облысы</t>
  </si>
  <si>
    <t>Жетісу облысы</t>
  </si>
  <si>
    <t>Абай облысы</t>
  </si>
  <si>
    <t>Батыс-Қазақстан облысы</t>
  </si>
  <si>
    <t>Шығыс-Қазақстан облысы</t>
  </si>
  <si>
    <t>Солтүстік-Қазақстан облысы</t>
  </si>
  <si>
    <t>Тонна (газ сұй.)</t>
  </si>
  <si>
    <t>ш.о.т. (көмір)</t>
  </si>
  <si>
    <t>ш.о.т.</t>
  </si>
  <si>
    <t>139000 кВт*сағ</t>
  </si>
  <si>
    <t>кВт*сағ</t>
  </si>
  <si>
    <t>тонн (көмір)</t>
  </si>
  <si>
    <t>3300 кВт*сағ</t>
  </si>
  <si>
    <t>195000 кВт*сағ</t>
  </si>
  <si>
    <t>368000 кВт*сағ</t>
  </si>
  <si>
    <t>48800 кВт*сағ</t>
  </si>
  <si>
    <t>14000 кВт*сағ</t>
  </si>
  <si>
    <t>5. Замена прожекторов ДРЛ 250 Вт (220шт) на светодиодные светильники Консольный IP65 100 Вт 5000К; (кВт*сағ)</t>
  </si>
  <si>
    <t>т.т.о.</t>
  </si>
  <si>
    <t>"ЭКО Сервис - 2030" ЖШС (ЭСКО)</t>
  </si>
  <si>
    <t>Жеке қаражаты</t>
  </si>
  <si>
    <t>Жеке қаражаты (бюджеттік қаражаты)</t>
  </si>
  <si>
    <t>2023 жыл</t>
  </si>
  <si>
    <t>2024 жыл</t>
  </si>
  <si>
    <t>«Атырауские Тепловые Сети» АҚ</t>
  </si>
  <si>
    <t>"Озенмунайгаз" АҚ</t>
  </si>
  <si>
    <t>«Алматинский завод тяжелого машиностроения» АҚ</t>
  </si>
  <si>
    <t>"Батыс-Транзит" АҚ</t>
  </si>
  <si>
    <t>"Мангистаугаз" АҚ</t>
  </si>
  <si>
    <t>"Петро Казахстан Кумколь Ресорсиз" АҚ</t>
  </si>
  <si>
    <t>"Финансово-инвестиционная корпорация"Алел"</t>
  </si>
  <si>
    <t>«Акмолатурист» АҚ</t>
  </si>
  <si>
    <t>«Каустик» АҚ</t>
  </si>
  <si>
    <t>"Eurasian Foods Corporation" АҚ</t>
  </si>
  <si>
    <t>"Актюбинский завод хромовых соединений" АҚ</t>
  </si>
  <si>
    <t>"КМК Мунай" АҚ</t>
  </si>
  <si>
    <t>"Астана-Теплотранзит" АҚ</t>
  </si>
  <si>
    <t>«PROLUX LED» ЖШС</t>
  </si>
  <si>
    <t>"Асанас - Дар" ЖШС</t>
  </si>
  <si>
    <t>"Монолист Астана-А" ЖШС</t>
  </si>
  <si>
    <t>"Компания "МЕГО ЛТД" ЖШС</t>
  </si>
  <si>
    <t>"Maker" ЖШС</t>
  </si>
  <si>
    <t>«Зерде-Керамика» ЖШС</t>
  </si>
  <si>
    <t>"Эргономика" ҒӨФ ЖШС</t>
  </si>
  <si>
    <t>"Брендт" ЖШС</t>
  </si>
  <si>
    <t>"Южпромснаб" ЖШС</t>
  </si>
  <si>
    <t>"Востокцветмет" ЖШС</t>
  </si>
  <si>
    <t>«TEDOM Central Asia» ЖШС</t>
  </si>
  <si>
    <t>«Сенимди Курылыс» ЖШС</t>
  </si>
  <si>
    <t>"Стандарт цемент" ЖШС</t>
  </si>
  <si>
    <t>«Оңтүстік Жарық Транзит» ЖШС</t>
  </si>
  <si>
    <t>"Jetisu Energy" ЖШС</t>
  </si>
  <si>
    <t>"ЭПК Atica" ЖШС (ЭПК Атика)</t>
  </si>
  <si>
    <t>"Силикат" ЖШС</t>
  </si>
  <si>
    <t>"Казахский газоперерабатывающий завод" ЖШС</t>
  </si>
  <si>
    <t>"Батыс Пауэр" ЖШС</t>
  </si>
  <si>
    <t>"Каспий цемент" ЖШС</t>
  </si>
  <si>
    <t>"Разведка и добыча QazaqGaz" ЖШС</t>
  </si>
  <si>
    <t>"ДжейТиАй Казахстан" ЖШС</t>
  </si>
  <si>
    <t>«ASIA PARK» ЖШС</t>
  </si>
  <si>
    <t>«Авеста-Караганда ЖШС</t>
  </si>
  <si>
    <t>«Бескольская школа-колледж» ЖШС</t>
  </si>
  <si>
    <t>«Батыс Пауэр» ЖШС</t>
  </si>
  <si>
    <t>"Экосервис-2030" ЖШС</t>
  </si>
  <si>
    <t>«Компания Цифровой МИР» ЖШС</t>
  </si>
  <si>
    <t>«Оптима Трейд» ЖШС</t>
  </si>
  <si>
    <t>«Фабрика света» ЖШС</t>
  </si>
  <si>
    <t>"Асфальтобетон 1" ЖШС</t>
  </si>
  <si>
    <t>"Стройдеталь" ЖШС</t>
  </si>
  <si>
    <t>1. Аймақ бойынша жарықдиодты шамдарға ауыстыру</t>
  </si>
  <si>
    <t>2. №7 цехтің жарықдиодты шамдарға ауыстыр</t>
  </si>
  <si>
    <t>3. Гидравлика цехтің жарықдиодты шамдарға ауыстыр</t>
  </si>
  <si>
    <t>Жарықдиодты шамдарға ауыстыр</t>
  </si>
  <si>
    <t>"Мангистаумунайгаз" АҚ</t>
  </si>
  <si>
    <t xml:space="preserve">"Алел" Қаржылық-инвестициядық корпорациясы АҚ </t>
  </si>
  <si>
    <t>"Мангистаумунайгаз" АҚ жаңғырту</t>
  </si>
  <si>
    <t>"Озенмунайгаз" АҚ жаңғырту</t>
  </si>
  <si>
    <t>««Алматинский завод тяжелого машиностроения» АҚ Жарықтандыру жүйесін жаңғырту"</t>
  </si>
  <si>
    <t xml:space="preserve">«Акмолатурист» АҚ - Үш қабатты әйнекпен энергияны үнемдейтін терезелерді орнату» </t>
  </si>
  <si>
    <t>Энергия тиімділігі жөніндегі іс-шаралар</t>
  </si>
  <si>
    <t xml:space="preserve">2023 жылғы "2-ші пеш конвейерінен КО-6 Электр сүзгісін реконструкциялау есебінен электр энергиясын тұтынуды азайту" </t>
  </si>
  <si>
    <t xml:space="preserve">2024 жылғы "4-ші пеш конвейерінен КО-6 Электр сүзгісін реконструкциялау есебінен электр энергиясын тұтынуды азайту" </t>
  </si>
  <si>
    <t>Ішкі жарықтандыру шамдарын жарықдиодты шамдарға ауыстыру</t>
  </si>
  <si>
    <t>1. Сыртқы жарықтандыру шамдарын жарықдиодты шамдарға ауыстыру</t>
  </si>
  <si>
    <t>1. Шамдарды жарықдиодты шамдарға ауыстыру</t>
  </si>
  <si>
    <t>1. №40, 2, 12 қолданыстағы ДСШ-700 шамдарын LED-150 Вт шамдарға ауыстыру</t>
  </si>
  <si>
    <t>Сыртқы шамдарды жарықдиодты шамдарға ауыстыру</t>
  </si>
  <si>
    <t>Қызылорда қаласының объектілеріндегі жарықдиодты аналогтарға сыртқы жарықтандыру шамдары бар қыздыру шамдары мен люминесцентті шамдарды ауыстыру</t>
  </si>
  <si>
    <t>100 Вт қыздыру шамдарын Е27 типті жарықдиодты шамдарға ауыстыру</t>
  </si>
  <si>
    <t xml:space="preserve">Үш қабатты терезелері бар пластикалық терезелерді орнату арқылы қоршау конструкцияларының жылу оқшаулау қасиеттерін арттыру үшін терезелерді ауыстыру </t>
  </si>
  <si>
    <t>ОТҚС-2 орталық тарату қосалқы станциясындағы трансформаторларды ауыстыру</t>
  </si>
  <si>
    <t>ОТҚС-1 орталық тарату қосалқы станциясындағы трансформаторларды ауыстыру</t>
  </si>
  <si>
    <t>Флуоресцентті жәнеДСШ шамдарын LED-ге ауыстыру</t>
  </si>
  <si>
    <t>Флуоресцентті және ДСШ шамдарын LED-ге ауыстыру</t>
  </si>
  <si>
    <t>Қазандықтарды режимдік баптау</t>
  </si>
  <si>
    <t>2023 жылғы "2-ші пеш конвейерінен КО-6 Электр сүзгісін реконструкциялау есебінен электр энергиясын тұтынуды азайту"</t>
  </si>
  <si>
    <t>2024 жылғы "4-ші пеш конвейерінен КО-6 Электр сүзгісін реконструкциялау есебінен электр энергиясын тұтынуды азайту"</t>
  </si>
  <si>
    <t>Инвестициялар көлемі (млн. тенге)</t>
  </si>
  <si>
    <t>ШЖҚ"Облыстық көпбейінді балалар ауруханасы" МКК</t>
  </si>
  <si>
    <t>ШЖҚ "Қалалық балалар клиникалық ауруханасы" МКК</t>
  </si>
  <si>
    <t>"Облыстық клиникалық жұқпалы аурулар ауруханасы" МКҚК</t>
  </si>
  <si>
    <t>"Қостанай Жылу энергетикалық компаниясы" МКК "Қостанай қаласы әкімдігінің ТКШ, жолаушылар көлігі және автожолдар бөлімі" ММ</t>
  </si>
  <si>
    <t>ШЖҚ  "Қалалық перинаталдық орталық" МКК</t>
  </si>
  <si>
    <t>АЖП орнату</t>
  </si>
  <si>
    <t>Шағын қазандықтардың энергия жабдықтарын күрделі жөндеу</t>
  </si>
  <si>
    <t>Жылу желілерін күрделі жөндеу</t>
  </si>
  <si>
    <t>Қостанай ЖЭО энергетикалық жабдықтарын күрделі жөндеу</t>
  </si>
  <si>
    <t>Сыртқы жарықтандыру шамдарын жарықдиодты шамдарға ауыстыру</t>
  </si>
  <si>
    <t>Флуоресцентті шамдарды жарықдиодты шамдарға ауыстыру</t>
  </si>
  <si>
    <t>Секцияларды ауыстыра отырып, №4 қазандықтағы №1 су жылыту қазандығын күрделі жөндеу</t>
  </si>
  <si>
    <t>"№4 қазандықтың жылу желілерін Күрделі жөндеу"</t>
  </si>
  <si>
    <t>"ЖЭО-дағы №2 турбинаны роторды қайта қысып күрделі жөндеу"</t>
  </si>
  <si>
    <t>ШЖҚ "№5 Қалалық емхана" МКК</t>
  </si>
  <si>
    <t>"Қостанай Жылу энергетикалық компаниясы" МКК</t>
  </si>
  <si>
    <t>"Атырау облысының энергетика және тұрғын үй-коммуналдық шаруашылық басқармасы" ММ</t>
  </si>
  <si>
    <t>"Жетісу облысының энергетика және тұрғын үй-коммуналдық шаруашылық басқармасы" ММ</t>
  </si>
  <si>
    <t>"М. Құсайынов атындағы Ақтөбе облыстық дарынды балаларға арналған мамандандырылған лицей-интернаты" ММ</t>
  </si>
  <si>
    <t>"Крахмало-паточного завода" ЖШС жаңғырту, Жаркент қ.</t>
  </si>
  <si>
    <t>"Крахмало-паточного завода" ЖШС жаңғырту, Ақсай қ.</t>
  </si>
  <si>
    <t>Атырау қаласында көше жарықтандыру желілерін жаңғырту, салу және пайдалану (ұзындығы-319 068 метр)</t>
  </si>
  <si>
    <t>Атырау қаласында көше жарықтандыру желілерін салу және пайдалану (ұзындығы - 270 027 метр)</t>
  </si>
  <si>
    <t>Панфилов ауданы Жаркент қаласы, Жібек жолы көшесі №10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</si>
  <si>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Панфилов ауданы Жаркент қаласы, Жібек жолы көшесі №34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</si>
  <si>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Панфилов ауданы Жаркент қаласы, Жібек жолы көшесі №77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</si>
  <si>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Панфилов ауданы Жаркент қаласы, Сәтпаев көшесі №233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</si>
  <si>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Панфилов ауданы Жаркент қаласы, Уәлиханов көшесі №155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</si>
  <si>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Панфилов ауданы Жаркент қаласы, Юлдашеов көшесі №28 мекенжайындағы көппәтерлі тұрғын үйді жылумен жабдықтауға арналған газбен жұмыс істейтін автономды Блокты-модульді қазандықты салу және оған сервистік қызмет көрсету</t>
  </si>
  <si>
    <t>Құлсары қаласында көше жарықтандыру желілерін салу және пайдалану</t>
  </si>
  <si>
    <t>Флуоресцентті шамдарды жарықдиодты шамдарға ауыстыру (мектеп)</t>
  </si>
  <si>
    <t>Атырау қаласында көше жарықтандыру желілерін салу және пайдалану (ұзындығы - 270 028 метр, 9 мың шам)</t>
  </si>
  <si>
    <t>Когенерациялық газ поршеньді қолдану
орнату</t>
  </si>
  <si>
    <t>«Өскемен қаласындағы мамандандырылған балалар үйі» КМҚК</t>
  </si>
  <si>
    <t>«Gain technology» ЖК</t>
  </si>
  <si>
    <t>«Атырау облысы су арнасы» КМК</t>
  </si>
  <si>
    <t>Алтай ауданы әкімдігінің "Жылуорталық Серебрянск қ. және Жаңа Бұқтырма к." КМК</t>
  </si>
  <si>
    <t>«Gain technology» ЖК жаңғырту</t>
  </si>
  <si>
    <t>"Атырау облысы су арнасы" КМК жаңғырту</t>
  </si>
  <si>
    <t>Реттелетін жиілік жетегін (РЖЖ) орнату</t>
  </si>
  <si>
    <t>№№ 3,4 қазандықтың аудандық қазандықтарының ЖСҚ электр қозғалтқыштарында РЖЖ орнату</t>
  </si>
  <si>
    <t>Шатырды энергия тиімдіге ауыстыру арқылы жаңарту</t>
  </si>
  <si>
    <t>Сыртқы қабырғаларды термодернизациялау</t>
  </si>
  <si>
    <t>Үш қабатты шыныпакеті бар пластикалық терезелерге ауыстыру арқылы қоршау конструкцияларының жылу оқшаулағыш қасиеттерін арттыру</t>
  </si>
  <si>
    <t>№3 корпустағы сумен жабдықтау жүйесін жаңғырту</t>
  </si>
  <si>
    <t xml:space="preserve">Автоматтандырылған жылу пунктін орнату </t>
  </si>
  <si>
    <t>Жарықтандыруды ауыстыру</t>
  </si>
  <si>
    <t>Реактивті қуат компенсаторын (РҚК) орнату</t>
  </si>
  <si>
    <t>РЖЖ орнату</t>
  </si>
  <si>
    <t>Шатырды бөлшектеу, пеноизолды бүрку арқылы шатырды оқшаулау, жаңадан орнатылған рафтер торына металдан жасалған шатыр жабынын монтаждау (қар ұстаумен бірге)</t>
  </si>
  <si>
    <t>Пеноизолды қолдану арқылы бірінші қабаттың еденін оқшаулау, қасбеттік Элементтерді орнату (Жылу оқшаулау және декор)</t>
  </si>
  <si>
    <t>Қолданыстағы ағаш терезелерді бөлшектеу және үш қабатты пластикалық терезелерді орнату</t>
  </si>
  <si>
    <t>"Gain tehnology" ЖК</t>
  </si>
  <si>
    <t>Алтай ауданы әкімдігінің "Жылуорталық Алтай қаласы" КМК</t>
  </si>
  <si>
    <t xml:space="preserve"> "Востокцветмет" ЖШС</t>
  </si>
  <si>
    <t>«Хамле компани ЛТД» шетелдік кәчіпорын» ЖШС</t>
  </si>
  <si>
    <t>"Сапро-Нат" ЖШС</t>
  </si>
  <si>
    <t>«Авеста-Караганда» ЖШС</t>
  </si>
  <si>
    <t>«Сенимди Курылыс» ЖШС жаңғырту</t>
  </si>
  <si>
    <t>"Стандарт цемент" ЖШС жаңғырту</t>
  </si>
  <si>
    <t>«Оңтүстік Жарық Транзит» ЖШС жаңғырту</t>
  </si>
  <si>
    <t>«Хамле компани ЛТД» шетелдік кәсіпорын» ЖШС</t>
  </si>
  <si>
    <t>«Хамле компани ЛТД» шетелдік кәсіпорын» ЖШС жаңғырту</t>
  </si>
  <si>
    <t>«Петропавловское отделение ЮУЖД» жаңғырту</t>
  </si>
  <si>
    <t>"Южпромснаб" ЖШС жаңғырту</t>
  </si>
  <si>
    <t>"Брендт" ЖШС жаңғырту</t>
  </si>
  <si>
    <t>"Эргономика" ҒӨФ ЖШС жаңғырту</t>
  </si>
  <si>
    <t>«Зерде-Керамика» ЖШС жаңғырту</t>
  </si>
  <si>
    <t>"Maker" ЖШС жаңғырту жаңғырту</t>
  </si>
  <si>
    <t>"Оташева" ЖК жаңғырту</t>
  </si>
  <si>
    <t>"Казахтелеком" АҚ жаңғырту</t>
  </si>
  <si>
    <t>"Солтүстік Қазақстан облысы Аққайың ауданы Власовка ауылдық округі әкімінің аппараты" ММ жаңғырту</t>
  </si>
  <si>
    <t>"Солтүстік Қазақстан облысының Ішкі істер департаменті Аққайың ауданының ішкі істер бөлімі" ММ жаңғырту</t>
  </si>
  <si>
    <t>"Аққайың орталық аудандық ауруханасы" ШЖҚ КМК жаңғырту</t>
  </si>
  <si>
    <t>"Аққайың аудандық білім бөлімі" КММ жаңғырту</t>
  </si>
  <si>
    <t>"Солтүстік Қазақстан облысы Аққайың аудандық мәслихатының аппараты"КММ жаңғырту</t>
  </si>
  <si>
    <t>"Солтүстік Қазақстан облысы Тайынша ауданы әкімдігінің білім бөлімі" КММ жаңғырту</t>
  </si>
  <si>
    <t>Солтүстік Қазақстан облысы Мағжан Жұмабаев ауданының білім бөлімі КММ жаңғырту</t>
  </si>
  <si>
    <t>"Солтүстік Қазақстан облысы" Аққайың ауданының Орталықтандырылған кітапхана жүйесі " КММ жаңғырту</t>
  </si>
  <si>
    <t>Аққайың ауданы Власовка а., Власовка ОМ қазандығын жаңғырту</t>
  </si>
  <si>
    <t>Совет ОМ қазандығын жаңғырту, Жұмабаев ауданы Совет ауылы</t>
  </si>
  <si>
    <t>"Аққайың ауданы әкімінің аппараты" ММ қазандығын жаңғырту, Смирново ауылы</t>
  </si>
  <si>
    <t>"Жұмабаев ауданы МҮ" КММ қазандығын жаңғырту, Булаев қ.</t>
  </si>
  <si>
    <t>"Жұмабаев ауданының ОАА" КММ қазандығын жаңғырту, Булаев қ.</t>
  </si>
  <si>
    <t>Атырау Су Арнасы сумен жабдықтау жүйесін жаңғырту</t>
  </si>
  <si>
    <t>Өндірістік процестерді жаңғырту</t>
  </si>
  <si>
    <t>Жабдықтың жетектеріне КЖЖ орнату (ГКДҚ)</t>
  </si>
  <si>
    <t>"Азия парк" СОК ғимаратын жылытуға энергия тұтынуды азайту үшін энергия тиімді технологияларды енгізу</t>
  </si>
  <si>
    <t>"Алтын арба" СҚО ғимаратын жылытуға энергия тұтынуды азайту үшін энергия тиімді технологияларды енгізу</t>
  </si>
  <si>
    <t>Бескөл мектеп-колледжінің орталық жылытуын чиптегі қазандыққа ауыстыру</t>
  </si>
  <si>
    <t>Ұзынкөл ОМ объектісіндегі қазандықтағы 350 кВт қазандыққа ауыстыру, М. Жұмабаев ауданы</t>
  </si>
  <si>
    <t>Ивановка ОМ объектісіндегі қазандықтағы ТКДГ 220 кВт қазандыққа ауыстыру, Аққайың ауданы</t>
  </si>
  <si>
    <t>Ленин ОМ объектісіндегі қазандықтағы 350 кВт қазандыққа ауыстыру, Аққайың ауданы</t>
  </si>
  <si>
    <t>Надеждин ОМ объектісіндегі қазандықтағы 350 кВт қазандыққа ауыстыру, М. Жұмабаев ауданы</t>
  </si>
  <si>
    <t>Сартомар ОМ объектісіндегі қазандықтағы ТКДГ 220 кВт қазандыққа ауыстыру, М. Жұмабаев ауданы</t>
  </si>
  <si>
    <t xml:space="preserve">Смирново а. №3 ОМ объектісіндегі қазандықтағы 350 кВт қазандыққа ауыстыру, Аққайың ауданы </t>
  </si>
  <si>
    <t>Энергия үнемдеу мақсатында Қостанай қаласының газ қазандықтарында "VOLNA BOILER" бағдарламалық кешенін енгізу</t>
  </si>
  <si>
    <t>Жылу энергиясын қалпына келтірумен инновациялық энергия тиімді желдету жүйесін енгізу</t>
  </si>
  <si>
    <t>VRF типті заманауи Климаттық қондырғыларды қолдана отырып, энергияны үнемдейтін ғимаратты кондиционерлеу жүйесін енгізу. Қалалық электр желілерінен электр желілерін тұтынуды азайтуды қамтамасыз ететін</t>
  </si>
  <si>
    <t>Қызылорда қаласының сыртқы жарықтандыру жүйелерін қайта жаңарту, қызмет көрсету және күтіп ұстау</t>
  </si>
  <si>
    <t>Шикізат паркіндегі сақтау ыдыстарын жылу оқшаулау</t>
  </si>
  <si>
    <t>Қыздыру және ДСШ шамдары бар шамдарды жарықдиодты шамдарға ауыстыру</t>
  </si>
  <si>
    <t>Бу генератор қондырғысын енгізу</t>
  </si>
  <si>
    <t>Реактивті қуатты өтеу қондырғысы (РҚӨҚ)</t>
  </si>
  <si>
    <t>Үрлемелі желдеткіштер мен АС түтін сорғыштарына РЖЖ орнату</t>
  </si>
  <si>
    <t>Электр қозғалтқышын жиілік түрлендіргіштерін басқару жүйелерін енгізу</t>
  </si>
  <si>
    <t>Жарықдиодты шамдарды орнату</t>
  </si>
  <si>
    <t>1.Ертіс кенішіндегі люминисцентті шамдарды жарықдиодты шамдарға ауыстыру</t>
  </si>
  <si>
    <t>1.  ДСШ шамдарын сыртқы жарықтандыру жүйесіндегі жарықдиодты шамдарға ауыстыру</t>
  </si>
  <si>
    <t>1. 18Втх2 флуоресцентті шамдарды ғимарат ішіндегі жарықдиодты шамдарға ауыстыру (кВт * саг) (550 дана)</t>
  </si>
  <si>
    <t>Желдеткіш жабдықтың жиілікті реттелетін жетегін енгізу</t>
  </si>
  <si>
    <t>Шамадан тыс жүктелгендерді ауыстыру, жұмыс істеп тұрған ТС, ТТС 10-6 кВ қосымша күштік трансформаторларды орнату және жұмысқа енгізу</t>
  </si>
  <si>
    <t>Автоматтандырылған жылу пункттерін (АЖП) орнату</t>
  </si>
  <si>
    <t xml:space="preserve">Қатты отында ұзақ жану қазандығын ауыстыру және орнату (ҚҰЗҚ) </t>
  </si>
  <si>
    <t>Pump аудиті, оңтайлы тиімділікпен қолданыстағы сорғы қондырғыларын жаңасына ауыстыру, оңтайлы тиімділікке қол жеткізу үшін РЖЖ, ІҚЖ басқару шкафтарын орнату</t>
  </si>
  <si>
    <t>55 квт электр қозғалтқышына №4 түтін сорғысына РЖЖ орнату және монтаждау</t>
  </si>
  <si>
    <t>Шамдар мен шамдарды жарықдиодты шамдарға ауыстыру</t>
  </si>
  <si>
    <t>Жабдықтың жетектеріне РЖЖ орнату (ГКДҚ)</t>
  </si>
  <si>
    <t>Жылыту қазандықтарын ауыстыру</t>
  </si>
  <si>
    <t>Жылу сақтайтын шыныға ауыстыру арқылы витраждарды жаңғырту</t>
  </si>
  <si>
    <t>Жетілдірілген қазандық жабдықтарын енгізу</t>
  </si>
  <si>
    <t>Шығатын ауаның энергиясын қалпына келтіре отырып, жеткізу-шығару қондырғыларына ауыстыру арқылы желдету жүйесін жаңғырту</t>
  </si>
  <si>
    <t>Энергияны үнемдейтін жарықдиодты шамдармен ауыстыру арқылы қайта құру</t>
  </si>
  <si>
    <t>Бу генератор қондырғысын орнату</t>
  </si>
  <si>
    <t>«Норт Каспиан Оперейтинг Компани Н.В.» Компаниясы</t>
  </si>
  <si>
    <t>ШЖҚ "ҚР ПІБ"ҚР Президенті Әкімшілігі мен Үкіметінің әкімшілік ғимараттар дирекциясы"  РМК</t>
  </si>
  <si>
    <t>«Норт Каспиан Оперейтинг Компани Н.В.» жаңғырту</t>
  </si>
  <si>
    <t>Флуоресцентті шамдарды энергияны үнемдейтін шамдарға ауыстыру</t>
  </si>
  <si>
    <t>«Востокцветмет» ЖШС жаңғыртау</t>
  </si>
  <si>
    <t>Жарықтандыру шамдарын жарықдиодты шамдарға ауыстыру</t>
  </si>
  <si>
    <t>Қолданыстағы жарықтандыру жүйесінің шамдарын жатақханадағы жарықдиодты шамдарға ауыстыру</t>
  </si>
  <si>
    <t>"Нархоз"Университеті" КАҚ</t>
  </si>
  <si>
    <t>1.Жарық сенсорларын орнату</t>
  </si>
  <si>
    <t>Құмкөл ықшам ауданындағы қыздыру шамдарын және сыртқы жарықтандыру шамдары бар люминесцентті шамдарды жарықдиодты аналогтарына ауыстыру</t>
  </si>
  <si>
    <t>Флуоресцентті шамдарды жарықдиодты шамдарға ауыстыру (интернат)</t>
  </si>
  <si>
    <t>Тұрғын үй блоктарындағы флуоресцентті шамдарды ауыстыру (А,Б,В және 2 қабат)</t>
  </si>
  <si>
    <t>Петропавлов бөліміндегі ООТЖ</t>
  </si>
  <si>
    <t>2. Ішкі жарықтандыру шамдарын жарықдиодты шамдарға ауыстыру</t>
  </si>
  <si>
    <t>2. МГӨБ-1 сорғыларының электр қозғалтқыштарын жаңа энергия үнемдейтін электр қозғалтқыштарына ауыстыру</t>
  </si>
  <si>
    <t>2. Баутино базасының цехтарындағы Шамдарды ауыстыру</t>
  </si>
  <si>
    <t>3. АОО-да ішкі жарықтандыру шамдарын ауыстыру</t>
  </si>
  <si>
    <t>4. АОО-да көше жарықтандыру прожекторларын ауыстыру</t>
  </si>
  <si>
    <t>2.Көше жарығына фотореле орнату</t>
  </si>
  <si>
    <t>2. Флуоресцентті шамдарды АӨК-дегі жарықдиодты шамдарға ауыстыру</t>
  </si>
  <si>
    <t>2. Әкімшілік ғимараттағы ЛШ ішкі жарықтандыруды жарықдиодты шамдармен ауыстыру</t>
  </si>
  <si>
    <t>2. Қолданыстағы АШ 2х40вт шамдарын кеңсе бөлмесінің жарықтандыруын LED-36 Вт шамдарға ауыстыру</t>
  </si>
  <si>
    <t>3. Қолданыстағы ДСШ-700W шамдарының көше жарығын LED - 100W шамдарына ауыстыру</t>
  </si>
  <si>
    <t>2. 18Втх4 флуоресцентті шамдарды ғимарат ішіндегі жарықдиодты шамдарға ауыстыру (кВт * саг) (550 дана)</t>
  </si>
  <si>
    <t>3. 36Втх2 люминесцентті шамдарды жарықдиодты шамдарға ауыстыру-1200 дана, кВт * саг</t>
  </si>
  <si>
    <t>4. 18Втх1 флуоресцентті шамдарды ғимарат ішіндегі жарықдиодты шамдарға ауыстыру (кВт * саг) (190 дана)</t>
  </si>
  <si>
    <t>6. Қозғалыс датчигі бар шамды 5.4 5.10-90 дана (кВт*саг)блоктардағы баспалдақ алаңына орнату</t>
  </si>
  <si>
    <t>7. Көше прожекторларына фотореле датчигін орнату -50 дана</t>
  </si>
  <si>
    <t>Қыздыру шамдары мен разрядты шамдары бар шамдарды жарықдиодты шамдарға ауыстыру</t>
  </si>
  <si>
    <t>Жылу оқшаулағыш бояуды қолдану</t>
  </si>
  <si>
    <t>АЖП орнату (мектеп)</t>
  </si>
  <si>
    <t>Автоматты теңдестіру клапандары</t>
  </si>
  <si>
    <t>Автоматты теңгерім клапандары (мектеп)</t>
  </si>
  <si>
    <t>РҚК орнату</t>
  </si>
  <si>
    <t>Электр қуатын аз тұтынатын электр жабдықтарын енгізу</t>
  </si>
  <si>
    <t>Секцияларды ауыстыра отырып, №10 қазандықтағы №5 су жылыту қазандығын күрделі жөндеу</t>
  </si>
  <si>
    <t>«№6 қазандықтан жылу желілерін күрделі жөндеу»</t>
  </si>
  <si>
    <t>«4 шағынауданындағы №26 тұрғын үйдің жанындағы Совхозная көшесі бойынша ТК 21.15-тен жылу желісінің учаскесін күрделі жөндеу»</t>
  </si>
  <si>
    <t>«ТК 2.21-ден жылу желісі учаскесін әл-Фараби даңғылы, 3 тұрғын үйдің жанында күрделі жөндеу»</t>
  </si>
  <si>
    <t>«1 және 2 сатылы бу қыздырғыш пакеттерін ауыстыра отырып ЖЭО дағы №1 бу қазандығын күрделі жөндеу»</t>
  </si>
  <si>
    <t>«Жез түтіктерді 100% ауыстыра отырып ЖЭО-да ЖСҚ 125-7-15 №2 күрделі жөндеу»</t>
  </si>
  <si>
    <t>«Жез түтіктерді 100% ауыстыра отырып, ЖЭО-да 200-7-15 №2 ЖСЖ күрделі жөндеу»</t>
  </si>
  <si>
    <t>Ауа өндіру цехында жылытуды жаңғырту</t>
  </si>
  <si>
    <t xml:space="preserve">Бу тарағындағы РАФ цехында термоқаптарды орнату </t>
  </si>
  <si>
    <t>Режим картасы бойынша оттықты орнату</t>
  </si>
  <si>
    <t xml:space="preserve">Салқындату мұнарасының желдеткішіне жиілік түрлендіргішін орнату </t>
  </si>
  <si>
    <t>Бу құбырларын оқшаулау</t>
  </si>
  <si>
    <t>Қозғалыс датчиктерін жарықтандыруға орнату</t>
  </si>
  <si>
    <t xml:space="preserve">ОА жылытуды жаңғырту (4-ші қабат) </t>
  </si>
  <si>
    <t>2, 3 және 4 қабаттарда орталық бөлімде жарықтандыруды қосу</t>
  </si>
  <si>
    <t>4-6 Фримдағы кесу бу клапандарын орнату</t>
  </si>
  <si>
    <t>Бу тарағындағы РАФ цехында термоқаптарды орнату</t>
  </si>
  <si>
    <t>Салқындату мұнарасының желдеткішіне жиілік түрлендіргішін орнату</t>
  </si>
  <si>
    <t>Флуоресцентті шамдарды LED-ге ауыстыру</t>
  </si>
  <si>
    <t>Люминесцентті және қыздыру шамдардын жарықдиодты шамдарға ауыстыру</t>
  </si>
  <si>
    <t>1. Құбырлы флуоресценттішамдарды LED-ге ауыстыра отырып, ішкі жарықтандыру жүйесін қайта құру</t>
  </si>
  <si>
    <t>2. РҚК орнату</t>
  </si>
  <si>
    <t>2. ДСШ шамдары бар шамдарды жарықдиодты шамдарға ауыстыру</t>
  </si>
  <si>
    <t>2. ДСШ-250 шамдары бар шамдарды ауыстыру саны 203 дана әмбебап "Модуль" шамдарымен 64 Вт және MGL-250 саны 106 дана әмбебап "Модуль" шамдарымен 96 Вт</t>
  </si>
  <si>
    <t>Барлық ДСШ жарықтандыру шамдарын жарықдиодты жарықдиодты шамдарға ауыстыру</t>
  </si>
  <si>
    <t>ДСШ-400 шамдары бар шамдарды ауыстыру саны 53 дана 150 Вт шамдары бар индукциялық шамдарға және MGL-400 саны 341 дана 200 Вт шамдары бар индукциялық шамдарға</t>
  </si>
  <si>
    <t>2. АЖП орнату</t>
  </si>
  <si>
    <t>АЖП автоматтандырылған жылу пунктін орнату</t>
  </si>
  <si>
    <t>1.4 автоматтандырылған жылу пункт (АЖП) орнату);</t>
  </si>
  <si>
    <t>Автоматтандырылған жылу пунктін (АЖП)орнату</t>
  </si>
  <si>
    <t>2023 жылдың қорытындысы</t>
  </si>
  <si>
    <t>2025 жылдың қорытындысы</t>
  </si>
  <si>
    <t>2024 жылдың қорытындысы</t>
  </si>
  <si>
    <t>Договор ГЧП №15 "Строительство и сервисное обслуживание автономных блочно-модульной котельной на газе для теплоснабжения многоквартирных жилых домов по улице Жибек жолы, с. Шелек, Енбекшиказахского района, Алматинской области (дома №2, №4)"</t>
  </si>
  <si>
    <t>"Алматы облысының энергетика және сумен жабдықтау басқармасы" ММ</t>
  </si>
  <si>
    <t>ГУ "Управление энергетики и водоснабжения Алматинской области"</t>
  </si>
  <si>
    <t>алматинская область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</si>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</sst>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0"/>
    <numFmt numFmtId="166" formatCode="0.0"/>
    <numFmt numFmtId="167" formatCode="0.0000"/>
    <numFmt numFmtId="169" formatCode="_-* #,##0.00_р_._-;\-* #,##0.00_р_._-;_-* &quot;-&quot;??_р_._-;_-@_-"/>
    <numFmt numFmtId="170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mbria"/>
      <family val="1"/>
      <charset val="204"/>
    </font>
    <font>
      <b/>
      <sz val="14"/>
      <name val="Cambria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mbria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169" fontId="1" fillId="0" borderId="0" applyFont="0" applyFill="0" applyBorder="0" applyAlignment="0" applyProtection="0"/>
    <xf numFmtId="0" fontId="22" fillId="4" borderId="0" applyNumberFormat="0" applyBorder="0" applyAlignment="0" applyProtection="0"/>
  </cellStyleXfs>
  <cellXfs count="653">
    <xf numFmtId="0" fontId="0" fillId="0" borderId="0" xfId="0"/>
    <xf numFmtId="0" fontId="11" fillId="0" borderId="0" xfId="0" applyFont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166" fontId="11" fillId="0" borderId="0" xfId="0" applyNumberFormat="1" applyFont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left" vertical="top" wrapText="1"/>
    </xf>
    <xf numFmtId="164" fontId="5" fillId="0" borderId="0" xfId="1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3" fillId="2" borderId="4" xfId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8" fillId="3" borderId="0" xfId="1" applyFont="1" applyFill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top"/>
    </xf>
    <xf numFmtId="0" fontId="5" fillId="0" borderId="4" xfId="1" applyFont="1" applyBorder="1" applyAlignment="1">
      <alignment horizontal="center" vertical="center" wrapText="1"/>
    </xf>
    <xf numFmtId="0" fontId="7" fillId="2" borderId="0" xfId="0" applyFont="1" applyFill="1"/>
    <xf numFmtId="0" fontId="3" fillId="2" borderId="4" xfId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164" fontId="8" fillId="0" borderId="4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3" fillId="0" borderId="9" xfId="1" applyFont="1" applyBorder="1" applyAlignment="1">
      <alignment horizontal="center" vertical="center" wrapText="1"/>
    </xf>
    <xf numFmtId="165" fontId="3" fillId="0" borderId="9" xfId="1" applyNumberFormat="1" applyFont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left" vertical="top" wrapText="1"/>
    </xf>
    <xf numFmtId="0" fontId="5" fillId="0" borderId="9" xfId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165" fontId="23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166" fontId="19" fillId="0" borderId="4" xfId="1" applyNumberFormat="1" applyFont="1" applyBorder="1" applyAlignment="1">
      <alignment horizontal="left" vertical="center" wrapText="1"/>
    </xf>
    <xf numFmtId="165" fontId="21" fillId="0" borderId="4" xfId="1" applyNumberFormat="1" applyFont="1" applyBorder="1" applyAlignment="1">
      <alignment horizontal="center" vertical="center" wrapText="1"/>
    </xf>
    <xf numFmtId="3" fontId="23" fillId="0" borderId="4" xfId="1" applyNumberFormat="1" applyFont="1" applyBorder="1" applyAlignment="1">
      <alignment horizontal="center" vertical="center" wrapText="1"/>
    </xf>
    <xf numFmtId="166" fontId="23" fillId="0" borderId="4" xfId="1" applyNumberFormat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center" vertical="center" wrapText="1"/>
    </xf>
    <xf numFmtId="165" fontId="19" fillId="0" borderId="4" xfId="2" applyNumberFormat="1" applyFont="1" applyBorder="1" applyAlignment="1">
      <alignment horizontal="center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166" fontId="19" fillId="0" borderId="4" xfId="2" applyNumberFormat="1" applyFont="1" applyBorder="1" applyAlignment="1">
      <alignment horizontal="left" vertical="center" wrapText="1"/>
    </xf>
    <xf numFmtId="0" fontId="24" fillId="0" borderId="4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left" vertical="center" wrapText="1"/>
    </xf>
    <xf numFmtId="165" fontId="19" fillId="0" borderId="4" xfId="0" applyNumberFormat="1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9" fontId="19" fillId="3" borderId="4" xfId="0" applyNumberFormat="1" applyFont="1" applyFill="1" applyBorder="1" applyAlignment="1">
      <alignment horizontal="center" vertical="center" wrapText="1"/>
    </xf>
    <xf numFmtId="165" fontId="19" fillId="3" borderId="4" xfId="0" applyNumberFormat="1" applyFont="1" applyFill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166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2" fontId="19" fillId="0" borderId="4" xfId="1" applyNumberFormat="1" applyFont="1" applyBorder="1" applyAlignment="1">
      <alignment horizontal="center" vertical="center" wrapText="1"/>
    </xf>
    <xf numFmtId="167" fontId="19" fillId="0" borderId="4" xfId="1" applyNumberFormat="1" applyFont="1" applyBorder="1" applyAlignment="1">
      <alignment horizontal="center" vertical="center" wrapText="1"/>
    </xf>
    <xf numFmtId="164" fontId="19" fillId="0" borderId="4" xfId="1" applyNumberFormat="1" applyFont="1" applyBorder="1" applyAlignment="1">
      <alignment horizontal="left" vertical="center" wrapText="1"/>
    </xf>
    <xf numFmtId="165" fontId="19" fillId="0" borderId="4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4" fontId="19" fillId="0" borderId="4" xfId="1" applyNumberFormat="1" applyFont="1" applyBorder="1" applyAlignment="1">
      <alignment horizontal="center" vertical="center" wrapText="1"/>
    </xf>
    <xf numFmtId="3" fontId="19" fillId="0" borderId="4" xfId="1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3" fontId="19" fillId="0" borderId="4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164" fontId="19" fillId="0" borderId="4" xfId="1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0" fontId="23" fillId="0" borderId="4" xfId="1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19" fillId="0" borderId="4" xfId="3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170" fontId="12" fillId="0" borderId="9" xfId="0" applyNumberFormat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top" wrapText="1"/>
    </xf>
    <xf numFmtId="0" fontId="19" fillId="0" borderId="4" xfId="5" applyFont="1" applyFill="1" applyBorder="1" applyAlignment="1">
      <alignment horizontal="left" vertical="center" wrapText="1"/>
    </xf>
    <xf numFmtId="0" fontId="19" fillId="0" borderId="4" xfId="5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170" fontId="19" fillId="0" borderId="4" xfId="1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6" fontId="19" fillId="0" borderId="4" xfId="1" applyNumberFormat="1" applyFont="1" applyBorder="1" applyAlignment="1">
      <alignment horizontal="center" vertical="center"/>
    </xf>
    <xf numFmtId="4" fontId="19" fillId="0" borderId="4" xfId="1" applyNumberFormat="1" applyFont="1" applyBorder="1" applyAlignment="1">
      <alignment horizontal="center" vertical="center"/>
    </xf>
    <xf numFmtId="164" fontId="19" fillId="0" borderId="4" xfId="1" applyNumberFormat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165" fontId="19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4" xfId="1" applyFont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19" fillId="0" borderId="4" xfId="3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19" fillId="3" borderId="4" xfId="1" applyFont="1" applyFill="1" applyBorder="1" applyAlignment="1">
      <alignment vertical="center"/>
    </xf>
    <xf numFmtId="0" fontId="24" fillId="0" borderId="4" xfId="1" applyFont="1" applyBorder="1" applyAlignment="1">
      <alignment vertical="center" wrapText="1"/>
    </xf>
    <xf numFmtId="0" fontId="19" fillId="0" borderId="4" xfId="2" applyFont="1" applyBorder="1" applyAlignment="1">
      <alignment vertical="center" wrapText="1"/>
    </xf>
    <xf numFmtId="0" fontId="24" fillId="0" borderId="4" xfId="2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5" borderId="4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center" vertical="center" wrapText="1"/>
    </xf>
    <xf numFmtId="164" fontId="8" fillId="5" borderId="4" xfId="1" applyNumberFormat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 vertical="center" wrapText="1"/>
    </xf>
    <xf numFmtId="0" fontId="0" fillId="5" borderId="0" xfId="0" applyFill="1"/>
    <xf numFmtId="170" fontId="19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9" fillId="0" borderId="4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164" fontId="15" fillId="3" borderId="4" xfId="1" applyNumberFormat="1" applyFont="1" applyFill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3" fontId="19" fillId="0" borderId="7" xfId="1" applyNumberFormat="1" applyFont="1" applyBorder="1" applyAlignment="1">
      <alignment horizontal="center" vertical="center"/>
    </xf>
    <xf numFmtId="164" fontId="19" fillId="0" borderId="7" xfId="1" applyNumberFormat="1" applyFont="1" applyBorder="1" applyAlignment="1">
      <alignment horizontal="center" vertical="center"/>
    </xf>
    <xf numFmtId="165" fontId="19" fillId="0" borderId="9" xfId="1" applyNumberFormat="1" applyFont="1" applyBorder="1" applyAlignment="1">
      <alignment horizontal="center" vertical="center" wrapText="1"/>
    </xf>
    <xf numFmtId="2" fontId="8" fillId="3" borderId="4" xfId="1" applyNumberFormat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7" xfId="1" applyFont="1" applyBorder="1" applyAlignment="1">
      <alignment horizontal="left" vertical="top" wrapText="1"/>
    </xf>
    <xf numFmtId="0" fontId="19" fillId="0" borderId="4" xfId="1" applyFont="1" applyBorder="1" applyAlignment="1">
      <alignment vertical="top" wrapText="1"/>
    </xf>
    <xf numFmtId="0" fontId="19" fillId="0" borderId="4" xfId="1" applyFont="1" applyBorder="1" applyAlignment="1">
      <alignment horizontal="center" vertical="top" wrapText="1"/>
    </xf>
    <xf numFmtId="0" fontId="23" fillId="0" borderId="4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9" fillId="3" borderId="0" xfId="1" applyFont="1" applyFill="1" applyAlignment="1">
      <alignment horizontal="left" vertical="center"/>
    </xf>
    <xf numFmtId="0" fontId="8" fillId="3" borderId="7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top" wrapText="1"/>
    </xf>
    <xf numFmtId="0" fontId="8" fillId="3" borderId="9" xfId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3" fillId="0" borderId="9" xfId="1" applyFont="1" applyBorder="1" applyAlignment="1">
      <alignment horizontal="left" vertical="top" wrapText="1"/>
    </xf>
    <xf numFmtId="0" fontId="24" fillId="0" borderId="4" xfId="1" applyFont="1" applyBorder="1" applyAlignment="1">
      <alignment horizontal="left" vertical="top" wrapText="1"/>
    </xf>
    <xf numFmtId="0" fontId="19" fillId="0" borderId="4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19" fillId="0" borderId="4" xfId="3" applyFont="1" applyBorder="1" applyAlignment="1">
      <alignment horizontal="left" vertical="top" wrapText="1"/>
    </xf>
    <xf numFmtId="0" fontId="19" fillId="0" borderId="8" xfId="3" applyFont="1" applyBorder="1" applyAlignment="1">
      <alignment horizontal="left" vertical="top" wrapText="1"/>
    </xf>
    <xf numFmtId="0" fontId="19" fillId="0" borderId="9" xfId="3" applyFont="1" applyBorder="1" applyAlignment="1">
      <alignment horizontal="left" vertical="top" wrapText="1"/>
    </xf>
    <xf numFmtId="0" fontId="19" fillId="0" borderId="7" xfId="3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9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9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left" vertical="top"/>
    </xf>
    <xf numFmtId="0" fontId="15" fillId="3" borderId="4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6" fontId="7" fillId="2" borderId="0" xfId="0" applyNumberFormat="1" applyFont="1" applyFill="1" applyAlignment="1">
      <alignment vertical="top"/>
    </xf>
    <xf numFmtId="0" fontId="20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/>
    </xf>
    <xf numFmtId="0" fontId="18" fillId="2" borderId="4" xfId="0" applyFont="1" applyFill="1" applyBorder="1" applyAlignment="1">
      <alignment vertical="top"/>
    </xf>
    <xf numFmtId="0" fontId="7" fillId="2" borderId="0" xfId="0" applyFont="1" applyFill="1" applyAlignment="1">
      <alignment vertical="top" wrapText="1"/>
    </xf>
    <xf numFmtId="0" fontId="19" fillId="0" borderId="0" xfId="1" applyFont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7" xfId="1" applyFont="1" applyBorder="1" applyAlignment="1">
      <alignment horizontal="center" vertical="top"/>
    </xf>
    <xf numFmtId="0" fontId="19" fillId="0" borderId="7" xfId="1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15" fillId="3" borderId="4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19" fillId="0" borderId="0" xfId="1" applyFont="1" applyAlignment="1">
      <alignment horizontal="center" vertical="top"/>
    </xf>
    <xf numFmtId="0" fontId="15" fillId="3" borderId="4" xfId="1" applyFont="1" applyFill="1" applyBorder="1" applyAlignment="1">
      <alignment horizontal="center" vertical="top" wrapText="1"/>
    </xf>
    <xf numFmtId="0" fontId="26" fillId="3" borderId="4" xfId="1" applyFont="1" applyFill="1" applyBorder="1" applyAlignment="1">
      <alignment horizontal="left" vertical="top"/>
    </xf>
    <xf numFmtId="0" fontId="26" fillId="3" borderId="4" xfId="1" applyFont="1" applyFill="1" applyBorder="1" applyAlignment="1">
      <alignment horizontal="center" vertical="top" wrapText="1"/>
    </xf>
    <xf numFmtId="0" fontId="26" fillId="3" borderId="0" xfId="1" applyFont="1" applyFill="1" applyAlignment="1">
      <alignment horizontal="center" vertical="top"/>
    </xf>
    <xf numFmtId="0" fontId="15" fillId="3" borderId="0" xfId="1" applyFont="1" applyFill="1" applyAlignment="1">
      <alignment horizontal="center" vertical="top"/>
    </xf>
    <xf numFmtId="165" fontId="19" fillId="0" borderId="0" xfId="1" applyNumberFormat="1" applyFont="1" applyAlignment="1">
      <alignment horizontal="center" vertical="top"/>
    </xf>
    <xf numFmtId="164" fontId="19" fillId="0" borderId="0" xfId="1" applyNumberFormat="1" applyFont="1" applyAlignment="1">
      <alignment horizontal="center" vertical="top"/>
    </xf>
    <xf numFmtId="0" fontId="19" fillId="0" borderId="4" xfId="1" applyFont="1" applyBorder="1" applyAlignment="1">
      <alignment horizontal="center" vertical="top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6" xfId="1" applyFont="1" applyBorder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0" fontId="23" fillId="0" borderId="4" xfId="1" applyFont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top"/>
    </xf>
    <xf numFmtId="0" fontId="19" fillId="0" borderId="6" xfId="1" applyFont="1" applyBorder="1" applyAlignment="1">
      <alignment horizontal="center" vertical="top"/>
    </xf>
    <xf numFmtId="0" fontId="23" fillId="0" borderId="0" xfId="1" applyFont="1" applyAlignment="1">
      <alignment horizontal="left" vertical="top"/>
    </xf>
    <xf numFmtId="0" fontId="19" fillId="0" borderId="12" xfId="0" applyFont="1" applyBorder="1" applyAlignment="1">
      <alignment horizontal="left" vertical="top" wrapText="1"/>
    </xf>
    <xf numFmtId="0" fontId="19" fillId="0" borderId="0" xfId="1" applyFont="1" applyAlignment="1">
      <alignment horizontal="left" vertical="top"/>
    </xf>
    <xf numFmtId="4" fontId="3" fillId="2" borderId="4" xfId="0" applyNumberFormat="1" applyFont="1" applyFill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8" fillId="2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19" fillId="0" borderId="4" xfId="3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20" fillId="6" borderId="4" xfId="0" applyFont="1" applyFill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justify" vertical="top" wrapText="1"/>
    </xf>
    <xf numFmtId="0" fontId="20" fillId="6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justify" vertical="top" wrapText="1"/>
    </xf>
    <xf numFmtId="0" fontId="11" fillId="6" borderId="7" xfId="0" applyFont="1" applyFill="1" applyBorder="1" applyAlignment="1">
      <alignment horizontal="center" vertical="center" wrapText="1"/>
    </xf>
    <xf numFmtId="3" fontId="11" fillId="6" borderId="7" xfId="0" applyNumberFormat="1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vertical="top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2" fontId="7" fillId="6" borderId="7" xfId="0" applyNumberFormat="1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2" fontId="11" fillId="6" borderId="4" xfId="0" applyNumberFormat="1" applyFont="1" applyFill="1" applyBorder="1" applyAlignment="1">
      <alignment horizontal="center" vertical="center" wrapText="1"/>
    </xf>
    <xf numFmtId="2" fontId="11" fillId="6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31" fillId="6" borderId="6" xfId="0" applyFont="1" applyFill="1" applyBorder="1" applyAlignment="1">
      <alignment horizontal="left" vertical="top" wrapText="1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 wrapText="1"/>
    </xf>
    <xf numFmtId="3" fontId="31" fillId="6" borderId="4" xfId="0" applyNumberFormat="1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3" fontId="31" fillId="6" borderId="7" xfId="0" applyNumberFormat="1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center" vertical="center" wrapText="1"/>
    </xf>
    <xf numFmtId="2" fontId="31" fillId="6" borderId="4" xfId="0" applyNumberFormat="1" applyFont="1" applyFill="1" applyBorder="1" applyAlignment="1">
      <alignment horizontal="center" vertical="center" wrapText="1"/>
    </xf>
    <xf numFmtId="2" fontId="31" fillId="6" borderId="7" xfId="0" applyNumberFormat="1" applyFont="1" applyFill="1" applyBorder="1" applyAlignment="1">
      <alignment horizontal="center" vertical="center" wrapText="1"/>
    </xf>
    <xf numFmtId="2" fontId="31" fillId="6" borderId="6" xfId="0" applyNumberFormat="1" applyFont="1" applyFill="1" applyBorder="1" applyAlignment="1">
      <alignment horizontal="center" vertical="center" wrapText="1"/>
    </xf>
    <xf numFmtId="2" fontId="31" fillId="6" borderId="12" xfId="0" applyNumberFormat="1" applyFont="1" applyFill="1" applyBorder="1" applyAlignment="1">
      <alignment horizontal="center" vertical="center" wrapText="1"/>
    </xf>
    <xf numFmtId="4" fontId="31" fillId="6" borderId="4" xfId="0" applyNumberFormat="1" applyFont="1" applyFill="1" applyBorder="1" applyAlignment="1">
      <alignment horizontal="center" vertical="center" wrapText="1"/>
    </xf>
    <xf numFmtId="4" fontId="31" fillId="6" borderId="7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0" fontId="19" fillId="0" borderId="9" xfId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 wrapText="1"/>
    </xf>
    <xf numFmtId="0" fontId="19" fillId="7" borderId="4" xfId="1" applyFont="1" applyFill="1" applyBorder="1" applyAlignment="1">
      <alignment horizontal="left" vertical="center" wrapText="1"/>
    </xf>
    <xf numFmtId="0" fontId="19" fillId="7" borderId="4" xfId="1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25" fillId="7" borderId="4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29" fillId="0" borderId="4" xfId="1" applyFont="1" applyBorder="1" applyAlignment="1">
      <alignment horizontal="center" vertical="center" wrapText="1"/>
    </xf>
    <xf numFmtId="164" fontId="29" fillId="0" borderId="4" xfId="1" applyNumberFormat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 wrapText="1"/>
    </xf>
    <xf numFmtId="2" fontId="29" fillId="5" borderId="4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3" fillId="0" borderId="10" xfId="1" applyFont="1" applyBorder="1" applyAlignment="1">
      <alignment horizontal="left" vertical="top"/>
    </xf>
    <xf numFmtId="0" fontId="19" fillId="0" borderId="12" xfId="1" applyFont="1" applyBorder="1" applyAlignment="1">
      <alignment horizontal="left" vertical="center" wrapText="1"/>
    </xf>
    <xf numFmtId="0" fontId="23" fillId="0" borderId="6" xfId="1" applyFont="1" applyBorder="1" applyAlignment="1">
      <alignment horizontal="left" vertical="top"/>
    </xf>
    <xf numFmtId="0" fontId="12" fillId="0" borderId="7" xfId="0" applyFont="1" applyBorder="1" applyAlignment="1">
      <alignment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65" fontId="3" fillId="2" borderId="16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166" fontId="19" fillId="0" borderId="4" xfId="1" applyNumberFormat="1" applyFont="1" applyBorder="1" applyAlignment="1">
      <alignment horizontal="center" vertical="center" wrapText="1"/>
    </xf>
    <xf numFmtId="165" fontId="15" fillId="3" borderId="4" xfId="1" applyNumberFormat="1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166" fontId="23" fillId="0" borderId="4" xfId="1" applyNumberFormat="1" applyFont="1" applyBorder="1" applyAlignment="1">
      <alignment horizontal="center" vertical="center" wrapText="1"/>
    </xf>
    <xf numFmtId="4" fontId="19" fillId="0" borderId="4" xfId="2" applyNumberFormat="1" applyFont="1" applyBorder="1" applyAlignment="1">
      <alignment horizontal="center" vertical="center" wrapText="1"/>
    </xf>
    <xf numFmtId="166" fontId="19" fillId="0" borderId="4" xfId="2" applyNumberFormat="1" applyFont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170" fontId="19" fillId="0" borderId="9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" fontId="19" fillId="0" borderId="7" xfId="1" applyNumberFormat="1" applyFont="1" applyBorder="1" applyAlignment="1">
      <alignment horizontal="center" vertical="center"/>
    </xf>
    <xf numFmtId="2" fontId="15" fillId="3" borderId="4" xfId="1" applyNumberFormat="1" applyFont="1" applyFill="1" applyBorder="1" applyAlignment="1">
      <alignment horizontal="center" vertical="center" wrapText="1"/>
    </xf>
    <xf numFmtId="165" fontId="19" fillId="0" borderId="10" xfId="1" applyNumberFormat="1" applyFont="1" applyBorder="1" applyAlignment="1">
      <alignment horizontal="center" vertical="center" wrapText="1"/>
    </xf>
    <xf numFmtId="165" fontId="19" fillId="0" borderId="17" xfId="1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19" fillId="0" borderId="10" xfId="1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19" fillId="0" borderId="0" xfId="1" applyNumberFormat="1" applyFont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9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7" borderId="4" xfId="1" applyFont="1" applyFill="1" applyBorder="1" applyAlignment="1">
      <alignment horizontal="center" vertical="center" wrapText="1"/>
    </xf>
    <xf numFmtId="166" fontId="19" fillId="0" borderId="9" xfId="0" applyNumberFormat="1" applyFont="1" applyBorder="1" applyAlignment="1">
      <alignment horizontal="center" vertical="center" wrapText="1"/>
    </xf>
    <xf numFmtId="165" fontId="8" fillId="3" borderId="7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3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9" fillId="0" borderId="4" xfId="1" applyFont="1" applyBorder="1" applyAlignment="1">
      <alignment horizontal="left" vertical="top" wrapText="1"/>
    </xf>
    <xf numFmtId="164" fontId="19" fillId="0" borderId="4" xfId="1" applyNumberFormat="1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7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left" vertical="top" wrapText="1"/>
    </xf>
    <xf numFmtId="165" fontId="19" fillId="0" borderId="7" xfId="1" applyNumberFormat="1" applyFont="1" applyBorder="1" applyAlignment="1">
      <alignment horizontal="center" vertical="center" wrapText="1"/>
    </xf>
    <xf numFmtId="165" fontId="19" fillId="0" borderId="9" xfId="1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left" vertical="top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top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6" borderId="9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top"/>
    </xf>
    <xf numFmtId="0" fontId="23" fillId="0" borderId="10" xfId="1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3" fillId="0" borderId="4" xfId="1" applyFont="1" applyBorder="1" applyAlignment="1">
      <alignment horizontal="left" vertical="top" wrapText="1"/>
    </xf>
    <xf numFmtId="0" fontId="23" fillId="0" borderId="21" xfId="1" applyFont="1" applyBorder="1" applyAlignment="1">
      <alignment horizontal="left" vertical="top"/>
    </xf>
    <xf numFmtId="0" fontId="15" fillId="3" borderId="6" xfId="1" applyFont="1" applyFill="1" applyBorder="1" applyAlignment="1">
      <alignment horizontal="left" vertical="top" wrapText="1"/>
    </xf>
    <xf numFmtId="0" fontId="15" fillId="3" borderId="10" xfId="1" applyFont="1" applyFill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top"/>
    </xf>
    <xf numFmtId="3" fontId="8" fillId="0" borderId="0" xfId="1" applyNumberFormat="1" applyFont="1" applyAlignment="1">
      <alignment horizontal="center" vertical="top" wrapText="1"/>
    </xf>
    <xf numFmtId="4" fontId="19" fillId="0" borderId="4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164" fontId="8" fillId="0" borderId="7" xfId="1" applyNumberFormat="1" applyFont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left" vertical="top" wrapText="1"/>
    </xf>
    <xf numFmtId="165" fontId="19" fillId="0" borderId="4" xfId="1" applyNumberFormat="1" applyFont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left" vertical="top" wrapText="1"/>
    </xf>
    <xf numFmtId="0" fontId="19" fillId="0" borderId="4" xfId="3" applyFont="1" applyBorder="1" applyAlignment="1">
      <alignment horizontal="left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9" xfId="1" applyFont="1" applyBorder="1" applyAlignment="1">
      <alignment horizontal="center" vertical="top" wrapText="1"/>
    </xf>
    <xf numFmtId="0" fontId="19" fillId="0" borderId="7" xfId="1" applyFont="1" applyBorder="1" applyAlignment="1">
      <alignment horizontal="center" vertical="top"/>
    </xf>
    <xf numFmtId="0" fontId="19" fillId="0" borderId="9" xfId="1" applyFont="1" applyBorder="1" applyAlignment="1">
      <alignment horizontal="center" vertical="top"/>
    </xf>
    <xf numFmtId="0" fontId="19" fillId="0" borderId="8" xfId="1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9" fillId="0" borderId="7" xfId="1" applyFont="1" applyBorder="1" applyAlignment="1">
      <alignment horizontal="left" vertical="top"/>
    </xf>
    <xf numFmtId="0" fontId="19" fillId="0" borderId="8" xfId="1" applyFont="1" applyBorder="1" applyAlignment="1">
      <alignment horizontal="left" vertical="top"/>
    </xf>
    <xf numFmtId="0" fontId="19" fillId="0" borderId="9" xfId="1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/>
    </xf>
    <xf numFmtId="0" fontId="19" fillId="0" borderId="8" xfId="1" applyFont="1" applyBorder="1" applyAlignment="1">
      <alignment horizontal="left" vertical="center"/>
    </xf>
    <xf numFmtId="0" fontId="19" fillId="0" borderId="9" xfId="1" applyFont="1" applyBorder="1" applyAlignment="1">
      <alignment horizontal="left" vertical="center"/>
    </xf>
    <xf numFmtId="0" fontId="19" fillId="0" borderId="7" xfId="1" applyFont="1" applyBorder="1" applyAlignment="1">
      <alignment horizontal="center" vertical="top" wrapText="1"/>
    </xf>
    <xf numFmtId="0" fontId="19" fillId="0" borderId="8" xfId="1" applyFont="1" applyBorder="1" applyAlignment="1">
      <alignment horizontal="center" vertical="top" wrapText="1"/>
    </xf>
    <xf numFmtId="165" fontId="19" fillId="0" borderId="8" xfId="1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4" xfId="1" applyFont="1" applyBorder="1" applyAlignment="1">
      <alignment vertical="center" wrapText="1"/>
    </xf>
    <xf numFmtId="0" fontId="23" fillId="0" borderId="6" xfId="1" applyFont="1" applyBorder="1" applyAlignment="1">
      <alignment vertical="top" wrapText="1"/>
    </xf>
    <xf numFmtId="0" fontId="23" fillId="0" borderId="21" xfId="1" applyFont="1" applyBorder="1" applyAlignment="1">
      <alignment vertical="top" wrapText="1"/>
    </xf>
    <xf numFmtId="0" fontId="23" fillId="0" borderId="10" xfId="1" applyFont="1" applyBorder="1" applyAlignment="1">
      <alignment vertical="top" wrapText="1"/>
    </xf>
    <xf numFmtId="0" fontId="15" fillId="3" borderId="6" xfId="1" applyFont="1" applyFill="1" applyBorder="1" applyAlignment="1">
      <alignment vertical="center" wrapText="1"/>
    </xf>
    <xf numFmtId="0" fontId="15" fillId="3" borderId="10" xfId="1" applyFont="1" applyFill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8" fillId="3" borderId="21" xfId="1" applyFont="1" applyFill="1" applyBorder="1" applyAlignment="1">
      <alignment vertical="top" wrapText="1"/>
    </xf>
    <xf numFmtId="0" fontId="8" fillId="3" borderId="10" xfId="1" applyFont="1" applyFill="1" applyBorder="1" applyAlignment="1">
      <alignment vertical="top" wrapText="1"/>
    </xf>
    <xf numFmtId="0" fontId="3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29" fillId="7" borderId="0" xfId="1" applyFont="1" applyFill="1" applyAlignment="1">
      <alignment horizontal="center" vertical="center"/>
    </xf>
    <xf numFmtId="0" fontId="29" fillId="7" borderId="0" xfId="1" applyFont="1" applyFill="1" applyAlignment="1">
      <alignment horizontal="left" vertical="center"/>
    </xf>
    <xf numFmtId="0" fontId="29" fillId="0" borderId="0" xfId="1" applyFont="1"/>
    <xf numFmtId="0" fontId="29" fillId="0" borderId="0" xfId="1" applyFont="1" applyAlignment="1">
      <alignment horizontal="center" vertical="center"/>
    </xf>
    <xf numFmtId="0" fontId="8" fillId="7" borderId="29" xfId="1" applyFont="1" applyFill="1" applyBorder="1" applyAlignment="1">
      <alignment horizontal="center" vertical="center" wrapText="1"/>
    </xf>
    <xf numFmtId="0" fontId="8" fillId="7" borderId="15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19" fillId="0" borderId="7" xfId="1" applyFont="1" applyBorder="1" applyAlignment="1">
      <alignment vertical="center" wrapText="1"/>
    </xf>
    <xf numFmtId="0" fontId="19" fillId="0" borderId="9" xfId="1" applyFont="1" applyBorder="1" applyAlignment="1">
      <alignment vertical="center" wrapText="1"/>
    </xf>
    <xf numFmtId="0" fontId="19" fillId="0" borderId="8" xfId="1" applyFont="1" applyBorder="1" applyAlignment="1">
      <alignment vertical="center" wrapText="1"/>
    </xf>
    <xf numFmtId="166" fontId="19" fillId="0" borderId="7" xfId="1" applyNumberFormat="1" applyFont="1" applyBorder="1" applyAlignment="1">
      <alignment horizontal="left" vertical="center" wrapText="1"/>
    </xf>
    <xf numFmtId="166" fontId="19" fillId="0" borderId="8" xfId="1" applyNumberFormat="1" applyFont="1" applyBorder="1" applyAlignment="1">
      <alignment horizontal="left" vertical="center" wrapText="1"/>
    </xf>
    <xf numFmtId="166" fontId="19" fillId="0" borderId="9" xfId="1" applyNumberFormat="1" applyFont="1" applyBorder="1" applyAlignment="1">
      <alignment horizontal="left" vertical="center" wrapText="1"/>
    </xf>
    <xf numFmtId="0" fontId="19" fillId="0" borderId="4" xfId="3" applyFont="1" applyBorder="1" applyAlignment="1">
      <alignment horizontal="left" vertical="center" wrapText="1"/>
    </xf>
    <xf numFmtId="166" fontId="19" fillId="0" borderId="7" xfId="0" applyNumberFormat="1" applyFont="1" applyBorder="1" applyAlignment="1">
      <alignment horizontal="left" vertical="center" wrapText="1"/>
    </xf>
    <xf numFmtId="166" fontId="19" fillId="0" borderId="8" xfId="0" applyNumberFormat="1" applyFont="1" applyBorder="1" applyAlignment="1">
      <alignment horizontal="left" vertical="center" wrapText="1"/>
    </xf>
    <xf numFmtId="166" fontId="19" fillId="0" borderId="9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3" fontId="19" fillId="0" borderId="7" xfId="1" applyNumberFormat="1" applyFont="1" applyBorder="1" applyAlignment="1">
      <alignment horizontal="center" vertical="center" wrapText="1"/>
    </xf>
    <xf numFmtId="3" fontId="19" fillId="0" borderId="9" xfId="1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Плохой" xfId="5" builtinId="27"/>
    <cellStyle name="Финансовый 2" xfId="4" xr:uid="{00000000-0005-0000-0000-000007000000}"/>
  </cellStyles>
  <dxfs count="0"/>
  <tableStyles count="0" defaultTableStyle="TableStyleMedium2" defaultPivotStyle="PivotStyleLight16"/>
  <colors>
    <mruColors>
      <color rgb="FF00FF99"/>
      <color rgb="FFCCFFFF"/>
      <color rgb="FF93FFD3"/>
      <color rgb="FFFF6600"/>
      <color rgb="FF00EE6C"/>
      <color rgb="FFFF99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J19"/>
  <sheetViews>
    <sheetView zoomScale="75" zoomScaleNormal="75" zoomScaleSheetLayoutView="75" workbookViewId="0">
      <selection activeCell="C20" sqref="C20"/>
    </sheetView>
  </sheetViews>
  <sheetFormatPr defaultColWidth="9.140625" defaultRowHeight="15" x14ac:dyDescent="0.25"/>
  <cols>
    <col min="1" max="1" width="6.5703125" style="5" customWidth="1"/>
    <col min="2" max="2" width="28.140625" style="3" customWidth="1"/>
    <col min="3" max="3" width="31.140625" style="1" customWidth="1"/>
    <col min="4" max="4" width="26.28515625" style="2" customWidth="1"/>
    <col min="5" max="5" width="21.140625" style="1" customWidth="1"/>
    <col min="6" max="6" width="14.5703125" style="2" customWidth="1"/>
    <col min="7" max="7" width="14.28515625" style="4" customWidth="1"/>
    <col min="8" max="8" width="16.28515625" style="3" customWidth="1"/>
    <col min="9" max="9" width="23.5703125" style="3" customWidth="1"/>
    <col min="10" max="10" width="16.5703125" style="1" customWidth="1"/>
    <col min="11" max="16384" width="9.140625" style="1"/>
  </cols>
  <sheetData>
    <row r="2" spans="1:10" ht="20.25" x14ac:dyDescent="0.25">
      <c r="A2" s="412" t="s">
        <v>467</v>
      </c>
      <c r="B2" s="412"/>
      <c r="C2" s="412"/>
      <c r="D2" s="412"/>
      <c r="E2" s="412"/>
      <c r="F2" s="412"/>
      <c r="G2" s="412"/>
      <c r="H2" s="412"/>
      <c r="I2" s="412"/>
    </row>
    <row r="3" spans="1:10" ht="15.75" thickBot="1" x14ac:dyDescent="0.3"/>
    <row r="4" spans="1:10" ht="57" customHeight="1" x14ac:dyDescent="0.25">
      <c r="A4" s="413" t="s">
        <v>0</v>
      </c>
      <c r="B4" s="415" t="s">
        <v>530</v>
      </c>
      <c r="C4" s="415" t="s">
        <v>1</v>
      </c>
      <c r="D4" s="415" t="s">
        <v>2</v>
      </c>
      <c r="E4" s="417" t="s">
        <v>3</v>
      </c>
      <c r="F4" s="415" t="s">
        <v>4</v>
      </c>
      <c r="G4" s="415"/>
      <c r="H4" s="417" t="s">
        <v>5</v>
      </c>
      <c r="I4" s="419" t="s">
        <v>489</v>
      </c>
      <c r="J4" s="410" t="s">
        <v>9</v>
      </c>
    </row>
    <row r="5" spans="1:10" ht="48.75" customHeight="1" thickBot="1" x14ac:dyDescent="0.3">
      <c r="A5" s="414"/>
      <c r="B5" s="416"/>
      <c r="C5" s="416"/>
      <c r="D5" s="416"/>
      <c r="E5" s="418"/>
      <c r="F5" s="44" t="s">
        <v>11</v>
      </c>
      <c r="G5" s="44" t="s">
        <v>12</v>
      </c>
      <c r="H5" s="418"/>
      <c r="I5" s="420"/>
      <c r="J5" s="411"/>
    </row>
    <row r="6" spans="1:10" s="6" customFormat="1" ht="63" x14ac:dyDescent="0.25">
      <c r="A6" s="39">
        <v>1</v>
      </c>
      <c r="B6" s="15" t="s">
        <v>1058</v>
      </c>
      <c r="C6" s="38" t="s">
        <v>1059</v>
      </c>
      <c r="D6" s="38" t="s">
        <v>1059</v>
      </c>
      <c r="E6" s="40">
        <v>1804.7090000000001</v>
      </c>
      <c r="F6" s="39" t="s">
        <v>16</v>
      </c>
      <c r="G6" s="43">
        <v>1350579</v>
      </c>
      <c r="H6" s="40">
        <v>27.713881000000001</v>
      </c>
      <c r="I6" s="39">
        <v>3</v>
      </c>
      <c r="J6" s="42" t="s">
        <v>1061</v>
      </c>
    </row>
    <row r="7" spans="1:10" s="6" customFormat="1" ht="78.75" x14ac:dyDescent="0.25">
      <c r="A7" s="26">
        <v>2</v>
      </c>
      <c r="B7" s="14" t="s">
        <v>88</v>
      </c>
      <c r="C7" s="17" t="s">
        <v>1062</v>
      </c>
      <c r="D7" s="13" t="s">
        <v>1063</v>
      </c>
      <c r="E7" s="28">
        <v>8374.7000000000007</v>
      </c>
      <c r="F7" s="26" t="s">
        <v>16</v>
      </c>
      <c r="G7" s="29">
        <v>3717000</v>
      </c>
      <c r="H7" s="28">
        <v>66.757320000000007</v>
      </c>
      <c r="I7" s="26">
        <v>5</v>
      </c>
      <c r="J7" s="27" t="s">
        <v>1064</v>
      </c>
    </row>
    <row r="8" spans="1:10" s="6" customFormat="1" ht="47.25" x14ac:dyDescent="0.25">
      <c r="A8" s="26">
        <v>3</v>
      </c>
      <c r="B8" s="11" t="s">
        <v>1065</v>
      </c>
      <c r="C8" s="13" t="s">
        <v>1066</v>
      </c>
      <c r="D8" s="13" t="s">
        <v>507</v>
      </c>
      <c r="E8" s="28">
        <v>113.7491</v>
      </c>
      <c r="F8" s="26" t="s">
        <v>16</v>
      </c>
      <c r="G8" s="29">
        <v>696400</v>
      </c>
      <c r="H8" s="28">
        <v>19.2624</v>
      </c>
      <c r="I8" s="26">
        <v>3.8</v>
      </c>
      <c r="J8" s="31" t="s">
        <v>1068</v>
      </c>
    </row>
    <row r="9" spans="1:10" s="6" customFormat="1" ht="47.25" x14ac:dyDescent="0.25">
      <c r="A9" s="26">
        <v>4</v>
      </c>
      <c r="B9" s="11" t="s">
        <v>1069</v>
      </c>
      <c r="C9" s="13" t="s">
        <v>1070</v>
      </c>
      <c r="D9" s="13" t="s">
        <v>507</v>
      </c>
      <c r="E9" s="28">
        <v>129.47999999999999</v>
      </c>
      <c r="F9" s="26" t="s">
        <v>16</v>
      </c>
      <c r="G9" s="29">
        <v>367200</v>
      </c>
      <c r="H9" s="28">
        <v>10.1568</v>
      </c>
      <c r="I9" s="26">
        <v>8.3000000000000007</v>
      </c>
      <c r="J9" s="31" t="s">
        <v>1068</v>
      </c>
    </row>
    <row r="10" spans="1:10" s="6" customFormat="1" ht="63" x14ac:dyDescent="0.25">
      <c r="A10" s="26">
        <v>5</v>
      </c>
      <c r="B10" s="14" t="s">
        <v>1071</v>
      </c>
      <c r="C10" s="17" t="s">
        <v>1072</v>
      </c>
      <c r="D10" s="13" t="s">
        <v>507</v>
      </c>
      <c r="E10" s="28">
        <v>4.3042999999999996</v>
      </c>
      <c r="F10" s="26" t="s">
        <v>16</v>
      </c>
      <c r="G10" s="29">
        <v>55800</v>
      </c>
      <c r="H10" s="28">
        <v>0.87860000000000005</v>
      </c>
      <c r="I10" s="26">
        <v>4.9000000000000004</v>
      </c>
      <c r="J10" s="27" t="s">
        <v>471</v>
      </c>
    </row>
    <row r="11" spans="1:10" s="6" customFormat="1" ht="47.25" x14ac:dyDescent="0.25">
      <c r="A11" s="26">
        <v>6</v>
      </c>
      <c r="B11" s="11" t="s">
        <v>1073</v>
      </c>
      <c r="C11" s="13" t="s">
        <v>1074</v>
      </c>
      <c r="D11" s="13" t="s">
        <v>507</v>
      </c>
      <c r="E11" s="28">
        <v>49.050460000000001</v>
      </c>
      <c r="F11" s="26" t="s">
        <v>16</v>
      </c>
      <c r="G11" s="29">
        <v>76173</v>
      </c>
      <c r="H11" s="28">
        <v>2.6538680000000001</v>
      </c>
      <c r="I11" s="26">
        <v>18.399999999999999</v>
      </c>
      <c r="J11" s="31" t="s">
        <v>1061</v>
      </c>
    </row>
    <row r="12" spans="1:10" s="6" customFormat="1" ht="47.25" x14ac:dyDescent="0.25">
      <c r="A12" s="26">
        <v>7</v>
      </c>
      <c r="B12" s="11" t="s">
        <v>1076</v>
      </c>
      <c r="C12" s="13" t="s">
        <v>1077</v>
      </c>
      <c r="D12" s="13" t="s">
        <v>507</v>
      </c>
      <c r="E12" s="28">
        <v>27.896999999999998</v>
      </c>
      <c r="F12" s="26" t="s">
        <v>16</v>
      </c>
      <c r="G12" s="29">
        <v>128400</v>
      </c>
      <c r="H12" s="28">
        <v>3.3325</v>
      </c>
      <c r="I12" s="26">
        <v>8.4</v>
      </c>
      <c r="J12" s="27" t="s">
        <v>492</v>
      </c>
    </row>
    <row r="13" spans="1:10" s="6" customFormat="1" ht="63" x14ac:dyDescent="0.25">
      <c r="A13" s="26">
        <v>8</v>
      </c>
      <c r="B13" s="23" t="s">
        <v>1096</v>
      </c>
      <c r="C13" s="24" t="s">
        <v>1078</v>
      </c>
      <c r="D13" s="24" t="s">
        <v>1079</v>
      </c>
      <c r="E13" s="45">
        <v>10588.367</v>
      </c>
      <c r="F13" s="33" t="s">
        <v>16</v>
      </c>
      <c r="G13" s="46">
        <v>1207920</v>
      </c>
      <c r="H13" s="45">
        <v>35.635109999999997</v>
      </c>
      <c r="I13" s="33">
        <v>5</v>
      </c>
      <c r="J13" s="27" t="s">
        <v>1081</v>
      </c>
    </row>
    <row r="14" spans="1:10" s="6" customFormat="1" ht="15.75" x14ac:dyDescent="0.25">
      <c r="A14" s="26"/>
      <c r="B14" s="11"/>
      <c r="C14" s="13"/>
      <c r="D14" s="13"/>
      <c r="E14" s="28"/>
      <c r="F14" s="26"/>
      <c r="G14" s="29"/>
      <c r="H14" s="28"/>
      <c r="I14" s="26"/>
      <c r="J14" s="26"/>
    </row>
    <row r="15" spans="1:10" s="6" customFormat="1" ht="15.75" x14ac:dyDescent="0.25">
      <c r="A15" s="26"/>
      <c r="B15" s="11"/>
      <c r="C15" s="13"/>
      <c r="D15" s="13"/>
      <c r="E15" s="28"/>
      <c r="F15" s="26"/>
      <c r="G15" s="29"/>
      <c r="H15" s="28"/>
      <c r="I15" s="26"/>
      <c r="J15" s="26"/>
    </row>
    <row r="16" spans="1:10" s="6" customFormat="1" ht="15.75" x14ac:dyDescent="0.25">
      <c r="A16" s="26"/>
      <c r="B16" s="11"/>
      <c r="C16" s="13"/>
      <c r="D16" s="13"/>
      <c r="E16" s="28"/>
      <c r="F16" s="26"/>
      <c r="G16" s="29"/>
      <c r="H16" s="28"/>
      <c r="I16" s="26"/>
      <c r="J16" s="26"/>
    </row>
    <row r="17" spans="1:10" s="6" customFormat="1" ht="15.75" x14ac:dyDescent="0.25">
      <c r="A17" s="26"/>
      <c r="B17" s="11"/>
      <c r="C17" s="13"/>
      <c r="D17" s="13"/>
      <c r="E17" s="28"/>
      <c r="F17" s="26"/>
      <c r="G17" s="29"/>
      <c r="H17" s="28"/>
      <c r="I17" s="26"/>
      <c r="J17" s="26"/>
    </row>
    <row r="18" spans="1:10" s="6" customFormat="1" ht="15.75" x14ac:dyDescent="0.25">
      <c r="A18" s="26"/>
      <c r="B18" s="11"/>
      <c r="C18" s="13"/>
      <c r="D18" s="13"/>
      <c r="E18" s="28"/>
      <c r="F18" s="26"/>
      <c r="G18" s="29"/>
      <c r="H18" s="28"/>
      <c r="I18" s="26"/>
      <c r="J18" s="26"/>
    </row>
    <row r="19" spans="1:10" ht="18.75" x14ac:dyDescent="0.25">
      <c r="E19" s="30">
        <f>SUM(E6:E18)</f>
        <v>21092.256860000001</v>
      </c>
      <c r="F19" s="30"/>
      <c r="G19" s="30"/>
      <c r="H19" s="30">
        <f>SUM(H6:H18)</f>
        <v>166.39047900000003</v>
      </c>
    </row>
  </sheetData>
  <mergeCells count="10">
    <mergeCell ref="J4:J5"/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  <pageSetup paperSize="9" scale="3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7"/>
  <sheetViews>
    <sheetView tabSelected="1" zoomScale="85" zoomScaleNormal="85" workbookViewId="0">
      <pane ySplit="5" topLeftCell="A72" activePane="bottomLeft" state="frozen"/>
      <selection pane="bottomLeft" activeCell="F74" sqref="F74"/>
    </sheetView>
  </sheetViews>
  <sheetFormatPr defaultColWidth="8.85546875" defaultRowHeight="15.75" x14ac:dyDescent="0.25"/>
  <cols>
    <col min="1" max="1" width="6.7109375" style="360" customWidth="1"/>
    <col min="2" max="2" width="38.7109375" style="207" customWidth="1"/>
    <col min="3" max="3" width="32.140625" style="207" customWidth="1"/>
    <col min="4" max="4" width="40.28515625" style="207" customWidth="1"/>
    <col min="5" max="5" width="15.5703125" style="365" customWidth="1"/>
    <col min="6" max="6" width="14.7109375" style="360" customWidth="1"/>
    <col min="7" max="7" width="16.5703125" style="365" customWidth="1"/>
    <col min="8" max="8" width="20.7109375" style="365" customWidth="1"/>
    <col min="9" max="9" width="15.7109375" style="365" customWidth="1"/>
    <col min="10" max="10" width="22.28515625" style="360" customWidth="1"/>
    <col min="11" max="11" width="15.85546875" style="360" customWidth="1"/>
    <col min="12" max="12" width="18.28515625" style="214" hidden="1" customWidth="1"/>
    <col min="13" max="13" width="11" style="207" bestFit="1" customWidth="1"/>
    <col min="14" max="16384" width="8.85546875" style="207"/>
  </cols>
  <sheetData>
    <row r="1" spans="1:13" s="1" customFormat="1" ht="15" x14ac:dyDescent="0.25">
      <c r="A1" s="359"/>
      <c r="B1" s="3"/>
      <c r="D1" s="2"/>
      <c r="E1" s="361"/>
      <c r="F1" s="362"/>
      <c r="G1" s="363"/>
      <c r="H1" s="364"/>
      <c r="I1" s="364"/>
      <c r="J1" s="361"/>
      <c r="K1" s="361"/>
    </row>
    <row r="2" spans="1:13" s="1" customFormat="1" ht="20.25" x14ac:dyDescent="0.25">
      <c r="A2" s="412" t="s">
        <v>467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3" s="1" customFormat="1" ht="15" x14ac:dyDescent="0.25">
      <c r="A3" s="359"/>
      <c r="B3" s="3"/>
      <c r="D3" s="2"/>
      <c r="E3" s="361"/>
      <c r="F3" s="362"/>
      <c r="G3" s="363"/>
      <c r="H3" s="364"/>
      <c r="I3" s="364"/>
      <c r="J3" s="361"/>
      <c r="K3" s="361"/>
    </row>
    <row r="4" spans="1:13" ht="57" customHeight="1" x14ac:dyDescent="0.25">
      <c r="A4" s="464" t="s">
        <v>0</v>
      </c>
      <c r="B4" s="464" t="s">
        <v>530</v>
      </c>
      <c r="C4" s="464" t="s">
        <v>1</v>
      </c>
      <c r="D4" s="464" t="s">
        <v>2</v>
      </c>
      <c r="E4" s="465" t="s">
        <v>3</v>
      </c>
      <c r="F4" s="464" t="s">
        <v>4</v>
      </c>
      <c r="G4" s="464"/>
      <c r="H4" s="465" t="s">
        <v>5</v>
      </c>
      <c r="I4" s="464" t="s">
        <v>489</v>
      </c>
      <c r="J4" s="464" t="s">
        <v>9</v>
      </c>
      <c r="K4" s="464" t="s">
        <v>1770</v>
      </c>
      <c r="L4" s="472" t="s">
        <v>1657</v>
      </c>
    </row>
    <row r="5" spans="1:13" ht="39" customHeight="1" x14ac:dyDescent="0.25">
      <c r="A5" s="464"/>
      <c r="B5" s="464"/>
      <c r="C5" s="464"/>
      <c r="D5" s="464"/>
      <c r="E5" s="465"/>
      <c r="F5" s="33" t="s">
        <v>11</v>
      </c>
      <c r="G5" s="197" t="s">
        <v>12</v>
      </c>
      <c r="H5" s="465"/>
      <c r="I5" s="464"/>
      <c r="J5" s="464"/>
      <c r="K5" s="464"/>
      <c r="L5" s="472"/>
    </row>
    <row r="6" spans="1:13" ht="39" customHeight="1" x14ac:dyDescent="0.25">
      <c r="A6" s="458">
        <v>1</v>
      </c>
      <c r="B6" s="476" t="s">
        <v>1849</v>
      </c>
      <c r="C6" s="478" t="s">
        <v>1850</v>
      </c>
      <c r="D6" s="478" t="s">
        <v>1851</v>
      </c>
      <c r="E6" s="480">
        <v>270.96499999999997</v>
      </c>
      <c r="F6" s="45" t="s">
        <v>1170</v>
      </c>
      <c r="G6" s="326">
        <v>425125</v>
      </c>
      <c r="H6" s="244">
        <v>10.31687</v>
      </c>
      <c r="I6" s="474">
        <v>17.8</v>
      </c>
      <c r="J6" s="463" t="s">
        <v>1834</v>
      </c>
      <c r="K6" s="424" t="s">
        <v>21</v>
      </c>
      <c r="L6" s="209" t="s">
        <v>1661</v>
      </c>
    </row>
    <row r="7" spans="1:13" ht="22.7" customHeight="1" x14ac:dyDescent="0.25">
      <c r="A7" s="459"/>
      <c r="B7" s="477"/>
      <c r="C7" s="479"/>
      <c r="D7" s="479"/>
      <c r="E7" s="481"/>
      <c r="F7" s="45" t="s">
        <v>37</v>
      </c>
      <c r="G7" s="348">
        <v>421.05</v>
      </c>
      <c r="H7" s="244">
        <v>1.91212</v>
      </c>
      <c r="I7" s="475"/>
      <c r="J7" s="473"/>
      <c r="K7" s="425"/>
      <c r="L7" s="209" t="s">
        <v>1661</v>
      </c>
    </row>
    <row r="8" spans="1:13" ht="27.4" customHeight="1" x14ac:dyDescent="0.25">
      <c r="A8" s="458">
        <v>2</v>
      </c>
      <c r="B8" s="476" t="s">
        <v>1852</v>
      </c>
      <c r="C8" s="466" t="s">
        <v>1853</v>
      </c>
      <c r="D8" s="466" t="s">
        <v>1851</v>
      </c>
      <c r="E8" s="480">
        <v>169.58487</v>
      </c>
      <c r="F8" s="202" t="s">
        <v>1170</v>
      </c>
      <c r="G8" s="349">
        <v>691702.5</v>
      </c>
      <c r="H8" s="349">
        <v>18.311579999999999</v>
      </c>
      <c r="I8" s="458">
        <v>7.54</v>
      </c>
      <c r="J8" s="424" t="s">
        <v>66</v>
      </c>
      <c r="K8" s="424" t="s">
        <v>21</v>
      </c>
      <c r="L8" s="208" t="s">
        <v>1667</v>
      </c>
    </row>
    <row r="9" spans="1:13" ht="36.950000000000003" customHeight="1" x14ac:dyDescent="0.25">
      <c r="A9" s="459"/>
      <c r="B9" s="477"/>
      <c r="C9" s="467"/>
      <c r="D9" s="467"/>
      <c r="E9" s="481"/>
      <c r="F9" s="202" t="s">
        <v>37</v>
      </c>
      <c r="G9" s="123">
        <v>387.68</v>
      </c>
      <c r="H9" s="349">
        <v>3.4947599999999999</v>
      </c>
      <c r="I9" s="459"/>
      <c r="J9" s="425"/>
      <c r="K9" s="425"/>
      <c r="L9" s="208" t="s">
        <v>1667</v>
      </c>
    </row>
    <row r="10" spans="1:13" ht="66" customHeight="1" x14ac:dyDescent="0.25">
      <c r="A10" s="123">
        <v>3</v>
      </c>
      <c r="B10" s="211" t="s">
        <v>1854</v>
      </c>
      <c r="C10" s="24" t="s">
        <v>1855</v>
      </c>
      <c r="D10" s="24" t="s">
        <v>1856</v>
      </c>
      <c r="E10" s="244">
        <v>62.314340000000001</v>
      </c>
      <c r="F10" s="202" t="s">
        <v>37</v>
      </c>
      <c r="G10" s="199">
        <v>270</v>
      </c>
      <c r="H10" s="244">
        <v>1.3716200000000001</v>
      </c>
      <c r="I10" s="199">
        <v>18</v>
      </c>
      <c r="J10" s="33" t="s">
        <v>1834</v>
      </c>
      <c r="K10" s="124" t="s">
        <v>21</v>
      </c>
      <c r="L10" s="208" t="s">
        <v>1667</v>
      </c>
    </row>
    <row r="11" spans="1:13" ht="52.35" customHeight="1" x14ac:dyDescent="0.25">
      <c r="A11" s="198">
        <v>4</v>
      </c>
      <c r="B11" s="211" t="s">
        <v>60</v>
      </c>
      <c r="C11" s="24" t="s">
        <v>1857</v>
      </c>
      <c r="D11" s="24" t="s">
        <v>1858</v>
      </c>
      <c r="E11" s="244">
        <v>135.47517999999999</v>
      </c>
      <c r="F11" s="202" t="s">
        <v>1859</v>
      </c>
      <c r="G11" s="350">
        <v>337960</v>
      </c>
      <c r="H11" s="244">
        <v>5.7284220000000001</v>
      </c>
      <c r="I11" s="199">
        <v>24.65</v>
      </c>
      <c r="J11" s="33" t="s">
        <v>61</v>
      </c>
      <c r="K11" s="124" t="s">
        <v>21</v>
      </c>
      <c r="L11" s="208" t="s">
        <v>1667</v>
      </c>
    </row>
    <row r="12" spans="1:13" ht="83.1" customHeight="1" x14ac:dyDescent="0.25">
      <c r="A12" s="123">
        <v>5</v>
      </c>
      <c r="B12" s="211" t="s">
        <v>1709</v>
      </c>
      <c r="C12" s="24" t="s">
        <v>1860</v>
      </c>
      <c r="D12" s="24" t="s">
        <v>1861</v>
      </c>
      <c r="E12" s="244">
        <v>12.0504</v>
      </c>
      <c r="F12" s="202" t="s">
        <v>37</v>
      </c>
      <c r="G12" s="199">
        <v>70.94</v>
      </c>
      <c r="H12" s="244">
        <v>0.40029999999999999</v>
      </c>
      <c r="I12" s="199">
        <v>58.47</v>
      </c>
      <c r="J12" s="33" t="s">
        <v>61</v>
      </c>
      <c r="K12" s="124" t="s">
        <v>21</v>
      </c>
      <c r="L12" s="208" t="s">
        <v>1667</v>
      </c>
      <c r="M12" s="210"/>
    </row>
    <row r="13" spans="1:13" ht="55.35" customHeight="1" x14ac:dyDescent="0.25">
      <c r="A13" s="123">
        <v>6</v>
      </c>
      <c r="B13" s="211" t="s">
        <v>1709</v>
      </c>
      <c r="C13" s="24" t="s">
        <v>1862</v>
      </c>
      <c r="D13" s="251" t="s">
        <v>1863</v>
      </c>
      <c r="E13" s="351">
        <v>31.199000000000002</v>
      </c>
      <c r="F13" s="352" t="s">
        <v>37</v>
      </c>
      <c r="G13" s="246">
        <v>65.400000000000006</v>
      </c>
      <c r="H13" s="351">
        <v>0.32950000000000002</v>
      </c>
      <c r="I13" s="246">
        <v>59.2</v>
      </c>
      <c r="J13" s="33" t="s">
        <v>61</v>
      </c>
      <c r="K13" s="152" t="s">
        <v>21</v>
      </c>
      <c r="L13" s="209" t="s">
        <v>1676</v>
      </c>
    </row>
    <row r="14" spans="1:13" ht="80.099999999999994" customHeight="1" x14ac:dyDescent="0.25">
      <c r="A14" s="198">
        <v>7</v>
      </c>
      <c r="B14" s="211" t="s">
        <v>1709</v>
      </c>
      <c r="C14" s="206" t="s">
        <v>1864</v>
      </c>
      <c r="D14" s="255" t="s">
        <v>1865</v>
      </c>
      <c r="E14" s="351">
        <v>12.523199999999999</v>
      </c>
      <c r="F14" s="265" t="s">
        <v>37</v>
      </c>
      <c r="G14" s="256">
        <v>170.04</v>
      </c>
      <c r="H14" s="267">
        <v>0.95950000000000002</v>
      </c>
      <c r="I14" s="254">
        <v>10.48</v>
      </c>
      <c r="J14" s="353" t="s">
        <v>61</v>
      </c>
      <c r="K14" s="198" t="s">
        <v>21</v>
      </c>
      <c r="L14" s="209" t="s">
        <v>1676</v>
      </c>
    </row>
    <row r="15" spans="1:13" ht="35.65" customHeight="1" x14ac:dyDescent="0.25">
      <c r="A15" s="458">
        <v>8</v>
      </c>
      <c r="B15" s="466" t="s">
        <v>1866</v>
      </c>
      <c r="C15" s="482" t="s">
        <v>1867</v>
      </c>
      <c r="D15" s="253" t="s">
        <v>1868</v>
      </c>
      <c r="E15" s="483">
        <v>92</v>
      </c>
      <c r="F15" s="254" t="s">
        <v>37</v>
      </c>
      <c r="G15" s="256">
        <v>1881.32</v>
      </c>
      <c r="H15" s="244">
        <v>8.8626100000000001</v>
      </c>
      <c r="I15" s="485">
        <v>11.35</v>
      </c>
      <c r="J15" s="424" t="s">
        <v>499</v>
      </c>
      <c r="K15" s="458" t="s">
        <v>21</v>
      </c>
      <c r="L15" s="209" t="s">
        <v>1676</v>
      </c>
    </row>
    <row r="16" spans="1:13" ht="38.65" customHeight="1" x14ac:dyDescent="0.25">
      <c r="A16" s="459"/>
      <c r="B16" s="467"/>
      <c r="C16" s="467"/>
      <c r="D16" s="252" t="s">
        <v>1869</v>
      </c>
      <c r="E16" s="484"/>
      <c r="F16" s="354" t="s">
        <v>1859</v>
      </c>
      <c r="G16" s="254">
        <v>7980</v>
      </c>
      <c r="H16" s="203">
        <v>0.28727999999999998</v>
      </c>
      <c r="I16" s="486"/>
      <c r="J16" s="425"/>
      <c r="K16" s="459"/>
      <c r="L16" s="209" t="s">
        <v>1676</v>
      </c>
    </row>
    <row r="17" spans="1:12" ht="33.950000000000003" customHeight="1" x14ac:dyDescent="0.25">
      <c r="A17" s="458">
        <v>9</v>
      </c>
      <c r="B17" s="466" t="s">
        <v>1870</v>
      </c>
      <c r="C17" s="24" t="s">
        <v>1840</v>
      </c>
      <c r="D17" s="24" t="s">
        <v>1840</v>
      </c>
      <c r="E17" s="244">
        <v>2.5630999999999999</v>
      </c>
      <c r="F17" s="354" t="s">
        <v>133</v>
      </c>
      <c r="G17" s="201">
        <v>0.02</v>
      </c>
      <c r="H17" s="203">
        <v>0.21460000000000001</v>
      </c>
      <c r="I17" s="219">
        <v>11.9</v>
      </c>
      <c r="J17" s="424" t="s">
        <v>1061</v>
      </c>
      <c r="K17" s="123" t="s">
        <v>21</v>
      </c>
      <c r="L17" s="208" t="s">
        <v>1689</v>
      </c>
    </row>
    <row r="18" spans="1:12" ht="36" customHeight="1" x14ac:dyDescent="0.25">
      <c r="A18" s="459"/>
      <c r="B18" s="467"/>
      <c r="C18" s="24" t="s">
        <v>1841</v>
      </c>
      <c r="D18" s="24" t="s">
        <v>1841</v>
      </c>
      <c r="E18" s="244">
        <v>0.36220000000000002</v>
      </c>
      <c r="F18" s="354" t="s">
        <v>133</v>
      </c>
      <c r="G18" s="201">
        <v>0.01</v>
      </c>
      <c r="H18" s="203">
        <v>9.2999999999999999E-2</v>
      </c>
      <c r="I18" s="219">
        <v>3.9</v>
      </c>
      <c r="J18" s="425"/>
      <c r="K18" s="123" t="s">
        <v>21</v>
      </c>
      <c r="L18" s="208" t="s">
        <v>1689</v>
      </c>
    </row>
    <row r="19" spans="1:12" ht="33" customHeight="1" x14ac:dyDescent="0.25">
      <c r="A19" s="458">
        <v>10</v>
      </c>
      <c r="B19" s="466" t="s">
        <v>1872</v>
      </c>
      <c r="C19" s="466" t="s">
        <v>1873</v>
      </c>
      <c r="D19" s="24" t="s">
        <v>1874</v>
      </c>
      <c r="E19" s="351">
        <v>2.8</v>
      </c>
      <c r="F19" s="355" t="s">
        <v>283</v>
      </c>
      <c r="G19" s="356">
        <v>4400</v>
      </c>
      <c r="H19" s="347">
        <v>0.13789999999999999</v>
      </c>
      <c r="I19" s="246">
        <v>20.3</v>
      </c>
      <c r="J19" s="424" t="s">
        <v>471</v>
      </c>
      <c r="K19" s="123" t="s">
        <v>21</v>
      </c>
      <c r="L19" s="209" t="s">
        <v>1689</v>
      </c>
    </row>
    <row r="20" spans="1:12" ht="47.25" x14ac:dyDescent="0.25">
      <c r="A20" s="459"/>
      <c r="B20" s="467"/>
      <c r="C20" s="467"/>
      <c r="D20" s="257" t="s">
        <v>1875</v>
      </c>
      <c r="E20" s="270">
        <v>1.448</v>
      </c>
      <c r="F20" s="261" t="s">
        <v>1876</v>
      </c>
      <c r="G20" s="262">
        <v>18000</v>
      </c>
      <c r="H20" s="270">
        <v>0.56420000000000003</v>
      </c>
      <c r="I20" s="261">
        <v>2.6</v>
      </c>
      <c r="J20" s="461"/>
      <c r="K20" s="123" t="s">
        <v>21</v>
      </c>
      <c r="L20" s="208" t="s">
        <v>1707</v>
      </c>
    </row>
    <row r="21" spans="1:12" ht="33.950000000000003" customHeight="1" x14ac:dyDescent="0.25">
      <c r="A21" s="458">
        <v>11</v>
      </c>
      <c r="B21" s="466" t="s">
        <v>1872</v>
      </c>
      <c r="C21" s="466" t="s">
        <v>1877</v>
      </c>
      <c r="D21" s="260" t="s">
        <v>1878</v>
      </c>
      <c r="E21" s="269">
        <v>4.0415999999999999</v>
      </c>
      <c r="F21" s="258" t="s">
        <v>37</v>
      </c>
      <c r="G21" s="258">
        <v>62</v>
      </c>
      <c r="H21" s="269">
        <v>0.58389999999999997</v>
      </c>
      <c r="I21" s="258">
        <v>6.9</v>
      </c>
      <c r="J21" s="460" t="s">
        <v>471</v>
      </c>
      <c r="K21" s="123" t="s">
        <v>21</v>
      </c>
      <c r="L21" s="208" t="s">
        <v>1707</v>
      </c>
    </row>
    <row r="22" spans="1:12" ht="30" x14ac:dyDescent="0.25">
      <c r="A22" s="462"/>
      <c r="B22" s="471"/>
      <c r="C22" s="471"/>
      <c r="D22" s="260" t="s">
        <v>1879</v>
      </c>
      <c r="E22" s="269">
        <v>0.88300000000000001</v>
      </c>
      <c r="F22" s="258" t="s">
        <v>37</v>
      </c>
      <c r="G22" s="258">
        <v>19.399999999999999</v>
      </c>
      <c r="H22" s="269">
        <v>0.1827</v>
      </c>
      <c r="I22" s="258">
        <v>4.8</v>
      </c>
      <c r="J22" s="487"/>
      <c r="K22" s="123" t="s">
        <v>21</v>
      </c>
    </row>
    <row r="23" spans="1:12" ht="45.95" customHeight="1" x14ac:dyDescent="0.25">
      <c r="A23" s="462"/>
      <c r="B23" s="471"/>
      <c r="C23" s="471"/>
      <c r="D23" s="260" t="s">
        <v>1880</v>
      </c>
      <c r="E23" s="269">
        <v>1.9427000000000001</v>
      </c>
      <c r="F23" s="258" t="s">
        <v>37</v>
      </c>
      <c r="G23" s="258">
        <v>28.1</v>
      </c>
      <c r="H23" s="269">
        <v>0.2646</v>
      </c>
      <c r="I23" s="258">
        <v>7.3</v>
      </c>
      <c r="J23" s="487"/>
      <c r="K23" s="123" t="s">
        <v>21</v>
      </c>
    </row>
    <row r="24" spans="1:12" ht="44.1" customHeight="1" x14ac:dyDescent="0.25">
      <c r="A24" s="459"/>
      <c r="B24" s="467"/>
      <c r="C24" s="467"/>
      <c r="D24" s="263" t="s">
        <v>1881</v>
      </c>
      <c r="E24" s="270">
        <v>2.7147999999999999</v>
      </c>
      <c r="F24" s="261" t="s">
        <v>37</v>
      </c>
      <c r="G24" s="261">
        <v>52.9</v>
      </c>
      <c r="H24" s="270">
        <v>0.49819999999999998</v>
      </c>
      <c r="I24" s="261">
        <v>5.5</v>
      </c>
      <c r="J24" s="461"/>
      <c r="K24" s="123" t="s">
        <v>21</v>
      </c>
    </row>
    <row r="25" spans="1:12" ht="27.95" customHeight="1" x14ac:dyDescent="0.25">
      <c r="A25" s="458">
        <v>12</v>
      </c>
      <c r="B25" s="466" t="s">
        <v>1872</v>
      </c>
      <c r="C25" s="466" t="s">
        <v>1882</v>
      </c>
      <c r="D25" s="260" t="s">
        <v>1883</v>
      </c>
      <c r="E25" s="269">
        <v>94.298500000000004</v>
      </c>
      <c r="F25" s="258" t="s">
        <v>1170</v>
      </c>
      <c r="G25" s="258" t="s">
        <v>1887</v>
      </c>
      <c r="H25" s="269">
        <v>54.712000000000003</v>
      </c>
      <c r="I25" s="258">
        <v>1.7</v>
      </c>
      <c r="J25" s="458" t="s">
        <v>471</v>
      </c>
      <c r="K25" s="123" t="s">
        <v>21</v>
      </c>
    </row>
    <row r="26" spans="1:12" ht="45" x14ac:dyDescent="0.25">
      <c r="A26" s="462"/>
      <c r="B26" s="471"/>
      <c r="C26" s="471"/>
      <c r="D26" s="260" t="s">
        <v>1884</v>
      </c>
      <c r="E26" s="269">
        <v>18.7333</v>
      </c>
      <c r="F26" s="258" t="s">
        <v>1876</v>
      </c>
      <c r="G26" s="259">
        <v>782700</v>
      </c>
      <c r="H26" s="269">
        <v>24.532800000000002</v>
      </c>
      <c r="I26" s="258">
        <v>0.8</v>
      </c>
      <c r="J26" s="462"/>
      <c r="K26" s="123" t="s">
        <v>21</v>
      </c>
    </row>
    <row r="27" spans="1:12" ht="45" x14ac:dyDescent="0.25">
      <c r="A27" s="462"/>
      <c r="B27" s="471"/>
      <c r="C27" s="471"/>
      <c r="D27" s="260" t="s">
        <v>1885</v>
      </c>
      <c r="E27" s="269">
        <v>6.8247999999999998</v>
      </c>
      <c r="F27" s="258" t="s">
        <v>1876</v>
      </c>
      <c r="G27" s="259">
        <v>493000</v>
      </c>
      <c r="H27" s="269">
        <v>15.452500000000001</v>
      </c>
      <c r="I27" s="258">
        <v>0.4</v>
      </c>
      <c r="J27" s="462"/>
      <c r="K27" s="123" t="s">
        <v>21</v>
      </c>
    </row>
    <row r="28" spans="1:12" ht="45" x14ac:dyDescent="0.25">
      <c r="A28" s="462"/>
      <c r="B28" s="471"/>
      <c r="C28" s="467"/>
      <c r="D28" s="260" t="s">
        <v>1886</v>
      </c>
      <c r="E28" s="270">
        <v>10.996700000000001</v>
      </c>
      <c r="F28" s="261" t="s">
        <v>1876</v>
      </c>
      <c r="G28" s="261" t="s">
        <v>1888</v>
      </c>
      <c r="H28" s="270">
        <v>139.0598</v>
      </c>
      <c r="I28" s="261">
        <v>0.1</v>
      </c>
      <c r="J28" s="459"/>
      <c r="K28" s="123" t="s">
        <v>21</v>
      </c>
    </row>
    <row r="29" spans="1:12" ht="63" x14ac:dyDescent="0.25">
      <c r="A29" s="123">
        <v>13</v>
      </c>
      <c r="B29" s="264" t="s">
        <v>1711</v>
      </c>
      <c r="C29" s="24" t="s">
        <v>1889</v>
      </c>
      <c r="D29" s="206" t="s">
        <v>1889</v>
      </c>
      <c r="E29" s="327">
        <v>3.152552</v>
      </c>
      <c r="F29" s="265" t="s">
        <v>133</v>
      </c>
      <c r="G29" s="265">
        <v>24.28</v>
      </c>
      <c r="H29" s="267">
        <v>0.52400000000000002</v>
      </c>
      <c r="I29" s="265">
        <v>6</v>
      </c>
      <c r="J29" s="204" t="s">
        <v>499</v>
      </c>
      <c r="K29" s="123" t="s">
        <v>21</v>
      </c>
    </row>
    <row r="30" spans="1:12" ht="45.95" customHeight="1" x14ac:dyDescent="0.25">
      <c r="A30" s="123">
        <v>14</v>
      </c>
      <c r="B30" s="264" t="s">
        <v>1711</v>
      </c>
      <c r="C30" s="24" t="s">
        <v>1890</v>
      </c>
      <c r="D30" s="206" t="s">
        <v>1890</v>
      </c>
      <c r="E30" s="327">
        <v>2.3303569999999998</v>
      </c>
      <c r="F30" s="265" t="s">
        <v>133</v>
      </c>
      <c r="G30" s="265">
        <v>17.899999999999999</v>
      </c>
      <c r="H30" s="267">
        <v>0.38700000000000001</v>
      </c>
      <c r="I30" s="265">
        <v>6</v>
      </c>
      <c r="J30" s="204" t="s">
        <v>499</v>
      </c>
      <c r="K30" s="123" t="s">
        <v>21</v>
      </c>
    </row>
    <row r="31" spans="1:12" ht="63" x14ac:dyDescent="0.25">
      <c r="A31" s="123">
        <v>15</v>
      </c>
      <c r="B31" s="264" t="s">
        <v>1711</v>
      </c>
      <c r="C31" s="24" t="s">
        <v>1891</v>
      </c>
      <c r="D31" s="206" t="s">
        <v>1891</v>
      </c>
      <c r="E31" s="327">
        <v>6.305104</v>
      </c>
      <c r="F31" s="265" t="s">
        <v>133</v>
      </c>
      <c r="G31" s="265">
        <v>4.78</v>
      </c>
      <c r="H31" s="267">
        <v>1.0469999999999999</v>
      </c>
      <c r="I31" s="265">
        <v>6</v>
      </c>
      <c r="J31" s="204" t="s">
        <v>499</v>
      </c>
      <c r="K31" s="123" t="s">
        <v>21</v>
      </c>
    </row>
    <row r="32" spans="1:12" ht="73.349999999999994" customHeight="1" x14ac:dyDescent="0.25">
      <c r="A32" s="123">
        <v>16</v>
      </c>
      <c r="B32" s="264" t="s">
        <v>1711</v>
      </c>
      <c r="C32" s="24" t="s">
        <v>1892</v>
      </c>
      <c r="D32" s="206" t="s">
        <v>1892</v>
      </c>
      <c r="E32" s="327">
        <v>3.152552</v>
      </c>
      <c r="F32" s="265" t="s">
        <v>133</v>
      </c>
      <c r="G32" s="265">
        <v>24.28</v>
      </c>
      <c r="H32" s="267">
        <v>0.52400000000000002</v>
      </c>
      <c r="I32" s="265">
        <v>6</v>
      </c>
      <c r="J32" s="204" t="s">
        <v>499</v>
      </c>
      <c r="K32" s="123" t="s">
        <v>21</v>
      </c>
    </row>
    <row r="33" spans="1:11" ht="69.400000000000006" customHeight="1" x14ac:dyDescent="0.25">
      <c r="A33" s="123">
        <v>17</v>
      </c>
      <c r="B33" s="264" t="s">
        <v>1711</v>
      </c>
      <c r="C33" s="24" t="s">
        <v>1893</v>
      </c>
      <c r="D33" s="206" t="s">
        <v>1893</v>
      </c>
      <c r="E33" s="327">
        <v>2.3303569999999998</v>
      </c>
      <c r="F33" s="265" t="s">
        <v>133</v>
      </c>
      <c r="G33" s="265">
        <v>17.899999999999999</v>
      </c>
      <c r="H33" s="267">
        <v>0.38700000000000001</v>
      </c>
      <c r="I33" s="265">
        <v>6</v>
      </c>
      <c r="J33" s="204" t="s">
        <v>499</v>
      </c>
      <c r="K33" s="123" t="s">
        <v>21</v>
      </c>
    </row>
    <row r="34" spans="1:11" ht="52.35" customHeight="1" x14ac:dyDescent="0.25">
      <c r="A34" s="123">
        <v>18</v>
      </c>
      <c r="B34" s="264" t="s">
        <v>1711</v>
      </c>
      <c r="C34" s="24" t="s">
        <v>1894</v>
      </c>
      <c r="D34" s="206" t="s">
        <v>1894</v>
      </c>
      <c r="E34" s="327">
        <v>4.5158469999999999</v>
      </c>
      <c r="F34" s="265" t="s">
        <v>133</v>
      </c>
      <c r="G34" s="265">
        <v>34.799999999999997</v>
      </c>
      <c r="H34" s="267">
        <v>0.751</v>
      </c>
      <c r="I34" s="265">
        <v>6</v>
      </c>
      <c r="J34" s="204" t="s">
        <v>499</v>
      </c>
      <c r="K34" s="123" t="s">
        <v>21</v>
      </c>
    </row>
    <row r="35" spans="1:11" ht="49.7" customHeight="1" x14ac:dyDescent="0.25">
      <c r="A35" s="123">
        <v>19</v>
      </c>
      <c r="B35" s="264" t="s">
        <v>1668</v>
      </c>
      <c r="C35" s="264" t="s">
        <v>1895</v>
      </c>
      <c r="D35" s="266" t="s">
        <v>1868</v>
      </c>
      <c r="E35" s="267">
        <v>33.038119999999999</v>
      </c>
      <c r="F35" s="265" t="s">
        <v>1896</v>
      </c>
      <c r="G35" s="256">
        <v>532.6</v>
      </c>
      <c r="H35" s="267">
        <v>17.341999999999999</v>
      </c>
      <c r="I35" s="265">
        <v>1.72</v>
      </c>
      <c r="J35" s="205" t="s">
        <v>471</v>
      </c>
      <c r="K35" s="123" t="s">
        <v>21</v>
      </c>
    </row>
    <row r="36" spans="1:11" ht="63" x14ac:dyDescent="0.25">
      <c r="A36" s="123">
        <v>20</v>
      </c>
      <c r="B36" s="264" t="s">
        <v>1897</v>
      </c>
      <c r="C36" s="264" t="s">
        <v>1898</v>
      </c>
      <c r="D36" s="266" t="s">
        <v>1899</v>
      </c>
      <c r="E36" s="327">
        <v>41.394739999999999</v>
      </c>
      <c r="F36" s="265" t="s">
        <v>37</v>
      </c>
      <c r="G36" s="265">
        <v>250.15</v>
      </c>
      <c r="H36" s="327">
        <v>2.5255999999999998</v>
      </c>
      <c r="I36" s="265">
        <v>9.9499999999999993</v>
      </c>
      <c r="J36" s="204" t="s">
        <v>492</v>
      </c>
      <c r="K36" s="123" t="s">
        <v>21</v>
      </c>
    </row>
    <row r="37" spans="1:11" ht="128.65" customHeight="1" x14ac:dyDescent="0.25">
      <c r="A37" s="123">
        <v>21</v>
      </c>
      <c r="B37" s="207" t="s">
        <v>1900</v>
      </c>
      <c r="C37" s="24" t="s">
        <v>1901</v>
      </c>
      <c r="D37" s="206" t="s">
        <v>1899</v>
      </c>
      <c r="E37" s="268">
        <v>107.8897</v>
      </c>
      <c r="F37" s="254" t="s">
        <v>1902</v>
      </c>
      <c r="G37" s="254">
        <v>106936</v>
      </c>
      <c r="H37" s="268">
        <v>10.0779</v>
      </c>
      <c r="I37" s="254">
        <v>6.8</v>
      </c>
      <c r="J37" s="204" t="s">
        <v>492</v>
      </c>
      <c r="K37" s="123" t="s">
        <v>21</v>
      </c>
    </row>
    <row r="38" spans="1:11" ht="63" x14ac:dyDescent="0.25">
      <c r="A38" s="123">
        <v>22</v>
      </c>
      <c r="B38" s="264" t="s">
        <v>1906</v>
      </c>
      <c r="C38" s="24" t="s">
        <v>1907</v>
      </c>
      <c r="D38" s="251" t="s">
        <v>1908</v>
      </c>
      <c r="E38" s="273">
        <v>1014.6962</v>
      </c>
      <c r="F38" s="265" t="s">
        <v>1902</v>
      </c>
      <c r="G38" s="274">
        <v>2467380</v>
      </c>
      <c r="H38" s="273">
        <v>148.95079999999999</v>
      </c>
      <c r="I38" s="274">
        <v>5</v>
      </c>
      <c r="J38" s="204" t="s">
        <v>466</v>
      </c>
      <c r="K38" s="124" t="s">
        <v>312</v>
      </c>
    </row>
    <row r="39" spans="1:11" ht="19.350000000000001" customHeight="1" x14ac:dyDescent="0.25">
      <c r="A39" s="458">
        <v>23</v>
      </c>
      <c r="B39" s="466" t="s">
        <v>1909</v>
      </c>
      <c r="C39" s="466" t="s">
        <v>1910</v>
      </c>
      <c r="D39" s="272" t="s">
        <v>1911</v>
      </c>
      <c r="E39" s="284">
        <f>1100/1000</f>
        <v>1.1000000000000001</v>
      </c>
      <c r="F39" s="265" t="s">
        <v>1902</v>
      </c>
      <c r="G39" s="276">
        <v>13750</v>
      </c>
      <c r="H39" s="282">
        <v>0.33</v>
      </c>
      <c r="I39" s="275">
        <v>3.33</v>
      </c>
      <c r="J39" s="205" t="s">
        <v>1921</v>
      </c>
      <c r="K39" s="123" t="s">
        <v>21</v>
      </c>
    </row>
    <row r="40" spans="1:11" ht="31.7" customHeight="1" x14ac:dyDescent="0.25">
      <c r="A40" s="462"/>
      <c r="B40" s="471"/>
      <c r="C40" s="471"/>
      <c r="D40" s="272" t="s">
        <v>1912</v>
      </c>
      <c r="E40" s="284">
        <f>200/1000</f>
        <v>0.2</v>
      </c>
      <c r="F40" s="275" t="s">
        <v>1924</v>
      </c>
      <c r="G40" s="276">
        <v>6000</v>
      </c>
      <c r="H40" s="282">
        <v>0.03</v>
      </c>
      <c r="I40" s="275">
        <v>6.67</v>
      </c>
      <c r="J40" s="205" t="s">
        <v>1921</v>
      </c>
      <c r="K40" s="123" t="s">
        <v>21</v>
      </c>
    </row>
    <row r="41" spans="1:11" ht="31.35" customHeight="1" x14ac:dyDescent="0.25">
      <c r="A41" s="462"/>
      <c r="B41" s="471"/>
      <c r="C41" s="471"/>
      <c r="D41" s="272" t="s">
        <v>1913</v>
      </c>
      <c r="E41" s="284">
        <f>585/1000</f>
        <v>0.58499999999999996</v>
      </c>
      <c r="F41" s="275" t="s">
        <v>1924</v>
      </c>
      <c r="G41" s="276">
        <v>2507</v>
      </c>
      <c r="H41" s="282">
        <v>8.7800000000000003E-2</v>
      </c>
      <c r="I41" s="275">
        <v>6.67</v>
      </c>
      <c r="J41" s="205" t="s">
        <v>1921</v>
      </c>
      <c r="K41" s="123" t="s">
        <v>21</v>
      </c>
    </row>
    <row r="42" spans="1:11" x14ac:dyDescent="0.25">
      <c r="A42" s="462"/>
      <c r="B42" s="471"/>
      <c r="C42" s="471"/>
      <c r="D42" s="272" t="s">
        <v>1914</v>
      </c>
      <c r="E42" s="284">
        <f>750/1000</f>
        <v>0.75</v>
      </c>
      <c r="F42" s="275" t="s">
        <v>1924</v>
      </c>
      <c r="G42" s="276">
        <v>6188</v>
      </c>
      <c r="H42" s="282">
        <v>0.12379999999999999</v>
      </c>
      <c r="I42" s="275">
        <v>6.06</v>
      </c>
      <c r="J42" s="205" t="s">
        <v>1921</v>
      </c>
      <c r="K42" s="123" t="s">
        <v>21</v>
      </c>
    </row>
    <row r="43" spans="1:11" ht="30.4" customHeight="1" x14ac:dyDescent="0.25">
      <c r="A43" s="462"/>
      <c r="B43" s="471"/>
      <c r="C43" s="471"/>
      <c r="D43" s="272" t="s">
        <v>1915</v>
      </c>
      <c r="E43" s="284">
        <v>1.268</v>
      </c>
      <c r="F43" s="275" t="s">
        <v>1925</v>
      </c>
      <c r="G43" s="276">
        <v>24000</v>
      </c>
      <c r="H43" s="282">
        <v>0.624</v>
      </c>
      <c r="I43" s="275">
        <v>2.0299999999999998</v>
      </c>
      <c r="J43" s="205" t="s">
        <v>1921</v>
      </c>
      <c r="K43" s="123" t="s">
        <v>21</v>
      </c>
    </row>
    <row r="44" spans="1:11" x14ac:dyDescent="0.25">
      <c r="A44" s="462"/>
      <c r="B44" s="471"/>
      <c r="C44" s="471"/>
      <c r="D44" s="272" t="s">
        <v>1916</v>
      </c>
      <c r="E44" s="284">
        <v>0.98</v>
      </c>
      <c r="F44" s="275" t="s">
        <v>1924</v>
      </c>
      <c r="G44" s="276">
        <v>4760</v>
      </c>
      <c r="H44" s="282">
        <v>0.1666</v>
      </c>
      <c r="I44" s="275">
        <v>5.88</v>
      </c>
      <c r="J44" s="205" t="s">
        <v>1921</v>
      </c>
      <c r="K44" s="123" t="s">
        <v>21</v>
      </c>
    </row>
    <row r="45" spans="1:11" ht="15.4" customHeight="1" x14ac:dyDescent="0.25">
      <c r="A45" s="462"/>
      <c r="B45" s="471"/>
      <c r="C45" s="471"/>
      <c r="D45" s="272" t="s">
        <v>1917</v>
      </c>
      <c r="E45" s="284">
        <v>0.28000000000000003</v>
      </c>
      <c r="F45" s="265" t="s">
        <v>1902</v>
      </c>
      <c r="G45" s="276">
        <v>11200</v>
      </c>
      <c r="H45" s="282">
        <v>0.2576</v>
      </c>
      <c r="I45" s="275">
        <v>1.0900000000000001</v>
      </c>
      <c r="J45" s="205" t="s">
        <v>1921</v>
      </c>
      <c r="K45" s="123" t="s">
        <v>21</v>
      </c>
    </row>
    <row r="46" spans="1:11" x14ac:dyDescent="0.25">
      <c r="A46" s="462"/>
      <c r="B46" s="471"/>
      <c r="C46" s="471"/>
      <c r="D46" s="272" t="s">
        <v>1918</v>
      </c>
      <c r="E46" s="284">
        <v>0.35</v>
      </c>
      <c r="F46" s="275" t="s">
        <v>1924</v>
      </c>
      <c r="G46" s="276">
        <v>2000</v>
      </c>
      <c r="H46" s="282">
        <v>7.0000000000000007E-2</v>
      </c>
      <c r="I46" s="275">
        <v>0.5</v>
      </c>
      <c r="J46" s="205" t="s">
        <v>1921</v>
      </c>
      <c r="K46" s="123" t="s">
        <v>21</v>
      </c>
    </row>
    <row r="47" spans="1:11" ht="33" customHeight="1" x14ac:dyDescent="0.25">
      <c r="A47" s="462"/>
      <c r="B47" s="471"/>
      <c r="C47" s="471"/>
      <c r="D47" s="271" t="s">
        <v>1919</v>
      </c>
      <c r="E47" s="285">
        <v>0.15</v>
      </c>
      <c r="F47" s="265" t="s">
        <v>1902</v>
      </c>
      <c r="G47" s="278">
        <v>15000</v>
      </c>
      <c r="H47" s="283">
        <v>2.5499999999999998E-2</v>
      </c>
      <c r="I47" s="277">
        <v>5.88</v>
      </c>
      <c r="J47" s="205" t="s">
        <v>1921</v>
      </c>
      <c r="K47" s="123" t="s">
        <v>21</v>
      </c>
    </row>
    <row r="48" spans="1:11" ht="34.700000000000003" customHeight="1" x14ac:dyDescent="0.25">
      <c r="A48" s="462"/>
      <c r="B48" s="471"/>
      <c r="C48" s="471"/>
      <c r="D48" s="272" t="s">
        <v>1920</v>
      </c>
      <c r="E48" s="284">
        <v>1.1000000000000001</v>
      </c>
      <c r="F48" s="275" t="s">
        <v>1924</v>
      </c>
      <c r="G48" s="276">
        <v>14000</v>
      </c>
      <c r="H48" s="282">
        <v>0.16500000000000001</v>
      </c>
      <c r="I48" s="275">
        <v>6.67</v>
      </c>
      <c r="J48" s="205" t="s">
        <v>1921</v>
      </c>
      <c r="K48" s="123" t="s">
        <v>21</v>
      </c>
    </row>
    <row r="49" spans="1:11" ht="20.65" customHeight="1" x14ac:dyDescent="0.25">
      <c r="A49" s="458">
        <v>24</v>
      </c>
      <c r="B49" s="466" t="s">
        <v>1909</v>
      </c>
      <c r="C49" s="468" t="s">
        <v>1910</v>
      </c>
      <c r="D49" s="272" t="s">
        <v>1911</v>
      </c>
      <c r="E49" s="286">
        <v>1</v>
      </c>
      <c r="F49" s="265" t="s">
        <v>1902</v>
      </c>
      <c r="G49" s="276">
        <v>12000</v>
      </c>
      <c r="H49" s="282">
        <v>0.3</v>
      </c>
      <c r="I49" s="275">
        <v>3.33</v>
      </c>
      <c r="J49" s="205" t="s">
        <v>1921</v>
      </c>
      <c r="K49" s="123" t="s">
        <v>21</v>
      </c>
    </row>
    <row r="50" spans="1:11" ht="30" x14ac:dyDescent="0.25">
      <c r="A50" s="462"/>
      <c r="B50" s="471"/>
      <c r="C50" s="470"/>
      <c r="D50" s="272" t="s">
        <v>1912</v>
      </c>
      <c r="E50" s="286">
        <v>0.1</v>
      </c>
      <c r="F50" s="275" t="s">
        <v>1924</v>
      </c>
      <c r="G50" s="276">
        <v>5000</v>
      </c>
      <c r="H50" s="282">
        <v>0.1817</v>
      </c>
      <c r="I50" s="275">
        <v>0.55000000000000004</v>
      </c>
      <c r="J50" s="205" t="s">
        <v>1921</v>
      </c>
      <c r="K50" s="123" t="s">
        <v>21</v>
      </c>
    </row>
    <row r="51" spans="1:11" ht="30" x14ac:dyDescent="0.25">
      <c r="A51" s="462"/>
      <c r="B51" s="471"/>
      <c r="C51" s="470"/>
      <c r="D51" s="272" t="s">
        <v>1913</v>
      </c>
      <c r="E51" s="286">
        <v>0.42499999999999999</v>
      </c>
      <c r="F51" s="275" t="s">
        <v>1924</v>
      </c>
      <c r="G51" s="276">
        <v>5000</v>
      </c>
      <c r="H51" s="282">
        <v>0.16750000000000001</v>
      </c>
      <c r="I51" s="275">
        <v>2.54</v>
      </c>
      <c r="J51" s="205" t="s">
        <v>1921</v>
      </c>
      <c r="K51" s="123" t="s">
        <v>21</v>
      </c>
    </row>
    <row r="52" spans="1:11" x14ac:dyDescent="0.25">
      <c r="A52" s="462"/>
      <c r="B52" s="471"/>
      <c r="C52" s="470"/>
      <c r="D52" s="272" t="s">
        <v>1914</v>
      </c>
      <c r="E52" s="286">
        <v>0.68</v>
      </c>
      <c r="F52" s="275" t="s">
        <v>1924</v>
      </c>
      <c r="G52" s="276">
        <v>5181</v>
      </c>
      <c r="H52" s="282">
        <v>0.10879999999999999</v>
      </c>
      <c r="I52" s="275">
        <v>6.25</v>
      </c>
      <c r="J52" s="205" t="s">
        <v>1921</v>
      </c>
      <c r="K52" s="123" t="s">
        <v>21</v>
      </c>
    </row>
    <row r="53" spans="1:11" ht="30" x14ac:dyDescent="0.25">
      <c r="A53" s="462"/>
      <c r="B53" s="471"/>
      <c r="C53" s="470"/>
      <c r="D53" s="272" t="s">
        <v>1915</v>
      </c>
      <c r="E53" s="286">
        <v>1.1679999999999999</v>
      </c>
      <c r="F53" s="265" t="s">
        <v>1902</v>
      </c>
      <c r="G53" s="276">
        <v>30000</v>
      </c>
      <c r="H53" s="282">
        <v>0.35039999999999999</v>
      </c>
      <c r="I53" s="275">
        <v>3.33</v>
      </c>
      <c r="J53" s="205" t="s">
        <v>1921</v>
      </c>
      <c r="K53" s="123" t="s">
        <v>21</v>
      </c>
    </row>
    <row r="54" spans="1:11" x14ac:dyDescent="0.25">
      <c r="A54" s="462"/>
      <c r="B54" s="471"/>
      <c r="C54" s="470"/>
      <c r="D54" s="272" t="s">
        <v>1916</v>
      </c>
      <c r="E54" s="286">
        <v>0.9</v>
      </c>
      <c r="F54" s="275" t="s">
        <v>1924</v>
      </c>
      <c r="G54" s="276">
        <v>3857</v>
      </c>
      <c r="H54" s="282">
        <v>0.13500000000000001</v>
      </c>
      <c r="I54" s="275">
        <v>6.67</v>
      </c>
      <c r="J54" s="205" t="s">
        <v>1921</v>
      </c>
      <c r="K54" s="123" t="s">
        <v>21</v>
      </c>
    </row>
    <row r="55" spans="1:11" ht="18" customHeight="1" x14ac:dyDescent="0.25">
      <c r="A55" s="462"/>
      <c r="B55" s="471"/>
      <c r="C55" s="470"/>
      <c r="D55" s="272" t="s">
        <v>1917</v>
      </c>
      <c r="E55" s="286">
        <v>0.2</v>
      </c>
      <c r="F55" s="265" t="s">
        <v>1902</v>
      </c>
      <c r="G55" s="276">
        <v>10000</v>
      </c>
      <c r="H55" s="282">
        <v>0.25</v>
      </c>
      <c r="I55" s="275">
        <v>0.8</v>
      </c>
      <c r="J55" s="205" t="s">
        <v>1921</v>
      </c>
      <c r="K55" s="123" t="s">
        <v>21</v>
      </c>
    </row>
    <row r="56" spans="1:11" x14ac:dyDescent="0.25">
      <c r="A56" s="462"/>
      <c r="B56" s="471"/>
      <c r="C56" s="470"/>
      <c r="D56" s="272" t="s">
        <v>1918</v>
      </c>
      <c r="E56" s="286">
        <v>0.02</v>
      </c>
      <c r="F56" s="275" t="s">
        <v>1924</v>
      </c>
      <c r="G56" s="276">
        <v>1000</v>
      </c>
      <c r="H56" s="282">
        <v>0.01</v>
      </c>
      <c r="I56" s="275">
        <v>2</v>
      </c>
      <c r="J56" s="205" t="s">
        <v>1921</v>
      </c>
      <c r="K56" s="123" t="s">
        <v>21</v>
      </c>
    </row>
    <row r="57" spans="1:11" ht="30" x14ac:dyDescent="0.25">
      <c r="A57" s="462"/>
      <c r="B57" s="471"/>
      <c r="C57" s="470"/>
      <c r="D57" s="272" t="s">
        <v>1919</v>
      </c>
      <c r="E57" s="286">
        <v>0.1</v>
      </c>
      <c r="F57" s="265" t="s">
        <v>1902</v>
      </c>
      <c r="G57" s="276">
        <v>4000</v>
      </c>
      <c r="H57" s="282">
        <v>0.1012</v>
      </c>
      <c r="I57" s="275">
        <v>0.99</v>
      </c>
      <c r="J57" s="205" t="s">
        <v>1921</v>
      </c>
      <c r="K57" s="123" t="s">
        <v>21</v>
      </c>
    </row>
    <row r="58" spans="1:11" ht="30" x14ac:dyDescent="0.25">
      <c r="A58" s="459"/>
      <c r="B58" s="467"/>
      <c r="C58" s="469"/>
      <c r="D58" s="279" t="s">
        <v>1920</v>
      </c>
      <c r="E58" s="287">
        <v>1.03</v>
      </c>
      <c r="F58" s="275" t="s">
        <v>1924</v>
      </c>
      <c r="G58" s="278">
        <v>13000</v>
      </c>
      <c r="H58" s="283">
        <v>0.1545</v>
      </c>
      <c r="I58" s="277">
        <v>6.67</v>
      </c>
      <c r="J58" s="205" t="s">
        <v>1921</v>
      </c>
      <c r="K58" s="123" t="s">
        <v>21</v>
      </c>
    </row>
    <row r="59" spans="1:11" ht="18" customHeight="1" x14ac:dyDescent="0.25">
      <c r="A59" s="458">
        <v>25</v>
      </c>
      <c r="B59" s="468" t="s">
        <v>1909</v>
      </c>
      <c r="C59" s="466" t="s">
        <v>1910</v>
      </c>
      <c r="D59" s="280" t="s">
        <v>1922</v>
      </c>
      <c r="E59" s="281">
        <v>0.68</v>
      </c>
      <c r="F59" s="275" t="s">
        <v>1924</v>
      </c>
      <c r="G59" s="259">
        <v>5542</v>
      </c>
      <c r="H59" s="269">
        <v>0.1108</v>
      </c>
      <c r="I59" s="258">
        <v>6.13</v>
      </c>
      <c r="J59" s="205" t="s">
        <v>1921</v>
      </c>
      <c r="K59" s="123" t="s">
        <v>21</v>
      </c>
    </row>
    <row r="60" spans="1:11" x14ac:dyDescent="0.25">
      <c r="A60" s="462"/>
      <c r="B60" s="470"/>
      <c r="C60" s="471"/>
      <c r="D60" s="280" t="s">
        <v>1923</v>
      </c>
      <c r="E60" s="281">
        <v>0.7</v>
      </c>
      <c r="F60" s="265" t="s">
        <v>1902</v>
      </c>
      <c r="G60" s="259">
        <v>8400</v>
      </c>
      <c r="H60" s="269">
        <v>0.21</v>
      </c>
      <c r="I60" s="258">
        <v>3.33</v>
      </c>
      <c r="J60" s="205" t="s">
        <v>1921</v>
      </c>
      <c r="K60" s="123" t="s">
        <v>21</v>
      </c>
    </row>
    <row r="61" spans="1:11" ht="21.4" customHeight="1" x14ac:dyDescent="0.25">
      <c r="A61" s="459"/>
      <c r="B61" s="469"/>
      <c r="C61" s="467"/>
      <c r="D61" s="280" t="s">
        <v>1917</v>
      </c>
      <c r="E61" s="281">
        <v>0.08</v>
      </c>
      <c r="F61" s="254" t="s">
        <v>1902</v>
      </c>
      <c r="G61" s="259">
        <v>4000</v>
      </c>
      <c r="H61" s="269">
        <v>9.6799999999999997E-2</v>
      </c>
      <c r="I61" s="258">
        <v>0.83</v>
      </c>
      <c r="J61" s="205" t="s">
        <v>1921</v>
      </c>
      <c r="K61" s="123" t="s">
        <v>21</v>
      </c>
    </row>
    <row r="62" spans="1:11" ht="47.25" x14ac:dyDescent="0.25">
      <c r="A62" s="123">
        <v>26</v>
      </c>
      <c r="B62" s="212" t="s">
        <v>1928</v>
      </c>
      <c r="C62" s="24" t="s">
        <v>1926</v>
      </c>
      <c r="D62" s="24" t="s">
        <v>1926</v>
      </c>
      <c r="E62" s="357">
        <v>1.5</v>
      </c>
      <c r="F62" s="254" t="s">
        <v>1902</v>
      </c>
      <c r="G62" s="201">
        <v>12000</v>
      </c>
      <c r="H62" s="357">
        <v>0.33600000000000002</v>
      </c>
      <c r="I62" s="201">
        <v>1</v>
      </c>
      <c r="J62" s="205" t="s">
        <v>1921</v>
      </c>
      <c r="K62" s="123" t="s">
        <v>21</v>
      </c>
    </row>
    <row r="63" spans="1:11" ht="31.5" x14ac:dyDescent="0.25">
      <c r="A63" s="123">
        <v>27</v>
      </c>
      <c r="B63" s="212" t="s">
        <v>1927</v>
      </c>
      <c r="C63" s="24" t="s">
        <v>1929</v>
      </c>
      <c r="D63" s="24" t="s">
        <v>1929</v>
      </c>
      <c r="E63" s="200">
        <v>4.0199999999999996</v>
      </c>
      <c r="F63" s="275" t="s">
        <v>1924</v>
      </c>
      <c r="G63" s="199">
        <v>340890</v>
      </c>
      <c r="H63" s="200">
        <v>11.316000000000001</v>
      </c>
      <c r="I63" s="199">
        <v>0.4</v>
      </c>
      <c r="J63" s="205" t="s">
        <v>1921</v>
      </c>
      <c r="K63" s="123" t="s">
        <v>21</v>
      </c>
    </row>
    <row r="64" spans="1:11" ht="31.5" x14ac:dyDescent="0.25">
      <c r="A64" s="123">
        <v>28</v>
      </c>
      <c r="B64" s="212" t="s">
        <v>1927</v>
      </c>
      <c r="C64" s="24" t="s">
        <v>1930</v>
      </c>
      <c r="D64" s="24" t="s">
        <v>1930</v>
      </c>
      <c r="E64" s="200">
        <v>4.7359999999999998</v>
      </c>
      <c r="F64" s="254" t="s">
        <v>1902</v>
      </c>
      <c r="G64" s="199">
        <v>138104</v>
      </c>
      <c r="H64" s="200">
        <v>4.1680000000000001</v>
      </c>
      <c r="I64" s="199">
        <v>1.2</v>
      </c>
      <c r="J64" s="205" t="s">
        <v>1921</v>
      </c>
      <c r="K64" s="123" t="s">
        <v>21</v>
      </c>
    </row>
    <row r="65" spans="1:12" ht="47.25" x14ac:dyDescent="0.25">
      <c r="A65" s="123">
        <v>29</v>
      </c>
      <c r="B65" s="212" t="s">
        <v>1927</v>
      </c>
      <c r="C65" s="24" t="s">
        <v>1931</v>
      </c>
      <c r="D65" s="24" t="s">
        <v>1931</v>
      </c>
      <c r="E65" s="200">
        <v>2.4430000000000001</v>
      </c>
      <c r="F65" s="254" t="s">
        <v>1902</v>
      </c>
      <c r="G65" s="199">
        <v>44740</v>
      </c>
      <c r="H65" s="200">
        <v>1.264</v>
      </c>
      <c r="I65" s="199">
        <v>1.9</v>
      </c>
      <c r="J65" s="205" t="s">
        <v>1921</v>
      </c>
      <c r="K65" s="123" t="s">
        <v>21</v>
      </c>
    </row>
    <row r="66" spans="1:12" ht="225" x14ac:dyDescent="0.25">
      <c r="A66" s="123">
        <v>30</v>
      </c>
      <c r="B66" s="344" t="s">
        <v>2243</v>
      </c>
      <c r="C66" s="323" t="s">
        <v>2241</v>
      </c>
      <c r="D66" s="323" t="s">
        <v>2241</v>
      </c>
      <c r="E66" s="316">
        <v>156.607</v>
      </c>
      <c r="F66" s="101" t="s">
        <v>1776</v>
      </c>
      <c r="G66" s="304">
        <v>602315</v>
      </c>
      <c r="H66" s="316">
        <v>16.913</v>
      </c>
      <c r="I66" s="101">
        <v>5</v>
      </c>
      <c r="J66" s="304" t="s">
        <v>2244</v>
      </c>
      <c r="K66" s="123" t="s">
        <v>21</v>
      </c>
      <c r="L66" s="304">
        <v>5</v>
      </c>
    </row>
    <row r="67" spans="1:12" ht="112.5" x14ac:dyDescent="0.25">
      <c r="A67" s="123">
        <v>31</v>
      </c>
      <c r="B67" s="312" t="s">
        <v>1932</v>
      </c>
      <c r="C67" s="91" t="s">
        <v>1933</v>
      </c>
      <c r="D67" s="91" t="s">
        <v>1933</v>
      </c>
      <c r="E67" s="316">
        <v>357.66941300000002</v>
      </c>
      <c r="F67" s="254" t="s">
        <v>1902</v>
      </c>
      <c r="G67" s="358">
        <v>682788.09600000002</v>
      </c>
      <c r="H67" s="316">
        <v>18.200399000000001</v>
      </c>
      <c r="I67" s="304">
        <v>19.600000000000001</v>
      </c>
      <c r="J67" s="123" t="s">
        <v>2245</v>
      </c>
      <c r="K67" s="123" t="s">
        <v>21</v>
      </c>
    </row>
    <row r="68" spans="1:12" ht="56.25" x14ac:dyDescent="0.25">
      <c r="A68" s="123">
        <v>32</v>
      </c>
      <c r="B68" s="121" t="s">
        <v>1946</v>
      </c>
      <c r="C68" s="121" t="s">
        <v>1947</v>
      </c>
      <c r="D68" s="121" t="s">
        <v>1947</v>
      </c>
      <c r="E68" s="316">
        <v>13.3195</v>
      </c>
      <c r="F68" s="101" t="s">
        <v>37</v>
      </c>
      <c r="G68" s="304">
        <v>301.7</v>
      </c>
      <c r="H68" s="316">
        <v>1.7024999999999999</v>
      </c>
      <c r="I68" s="304">
        <v>14</v>
      </c>
      <c r="J68" s="33" t="s">
        <v>61</v>
      </c>
      <c r="K68" s="101" t="s">
        <v>21</v>
      </c>
    </row>
    <row r="69" spans="1:12" ht="112.5" x14ac:dyDescent="0.25">
      <c r="A69" s="123">
        <v>33</v>
      </c>
      <c r="B69" s="346" t="s">
        <v>1932</v>
      </c>
      <c r="C69" s="142" t="s">
        <v>1935</v>
      </c>
      <c r="D69" s="142" t="s">
        <v>1935</v>
      </c>
      <c r="E69" s="316">
        <v>429.879887</v>
      </c>
      <c r="F69" s="254" t="s">
        <v>1902</v>
      </c>
      <c r="G69" s="358">
        <v>682788.09600000002</v>
      </c>
      <c r="H69" s="316">
        <v>14.33855</v>
      </c>
      <c r="I69" s="304">
        <v>29</v>
      </c>
      <c r="J69" s="205" t="s">
        <v>1934</v>
      </c>
      <c r="K69" s="123" t="s">
        <v>21</v>
      </c>
    </row>
    <row r="70" spans="1:12" ht="75" x14ac:dyDescent="0.25">
      <c r="A70" s="123">
        <v>34</v>
      </c>
      <c r="B70" s="121" t="s">
        <v>1948</v>
      </c>
      <c r="C70" s="91" t="s">
        <v>1949</v>
      </c>
      <c r="D70" s="91" t="s">
        <v>1949</v>
      </c>
      <c r="E70" s="316">
        <v>1934.393</v>
      </c>
      <c r="F70" s="254" t="s">
        <v>1902</v>
      </c>
      <c r="G70" s="304">
        <v>1377010</v>
      </c>
      <c r="H70" s="316">
        <v>63.112499999999997</v>
      </c>
      <c r="I70" s="304">
        <v>5</v>
      </c>
      <c r="J70" s="101" t="s">
        <v>1064</v>
      </c>
      <c r="K70" s="101" t="s">
        <v>312</v>
      </c>
      <c r="L70" s="101" t="s">
        <v>312</v>
      </c>
    </row>
    <row r="71" spans="1:12" ht="56.25" x14ac:dyDescent="0.25">
      <c r="A71" s="123">
        <v>35</v>
      </c>
      <c r="B71" s="91" t="s">
        <v>1824</v>
      </c>
      <c r="C71" s="91" t="s">
        <v>1940</v>
      </c>
      <c r="D71" s="91" t="s">
        <v>1940</v>
      </c>
      <c r="E71" s="316">
        <v>3.3</v>
      </c>
      <c r="F71" s="254" t="s">
        <v>1902</v>
      </c>
      <c r="G71" s="304">
        <v>38700</v>
      </c>
      <c r="H71" s="316">
        <v>1.1865000000000001</v>
      </c>
      <c r="I71" s="304">
        <v>2.8</v>
      </c>
      <c r="J71" s="205" t="s">
        <v>517</v>
      </c>
      <c r="K71" s="123" t="s">
        <v>21</v>
      </c>
    </row>
    <row r="72" spans="1:12" ht="37.5" x14ac:dyDescent="0.25">
      <c r="A72" s="123">
        <v>36</v>
      </c>
      <c r="B72" s="91" t="s">
        <v>1943</v>
      </c>
      <c r="C72" s="91" t="s">
        <v>1941</v>
      </c>
      <c r="D72" s="91" t="s">
        <v>1941</v>
      </c>
      <c r="E72" s="316">
        <v>1.202</v>
      </c>
      <c r="F72" s="254" t="s">
        <v>1902</v>
      </c>
      <c r="G72" s="304">
        <v>6759</v>
      </c>
      <c r="H72" s="316">
        <v>0.44700000000000001</v>
      </c>
      <c r="I72" s="304">
        <v>2.7</v>
      </c>
      <c r="J72" s="205" t="s">
        <v>1944</v>
      </c>
      <c r="K72" s="123" t="s">
        <v>21</v>
      </c>
    </row>
    <row r="73" spans="1:12" ht="56.25" x14ac:dyDescent="0.25">
      <c r="A73" s="123">
        <v>37</v>
      </c>
      <c r="B73" s="91" t="s">
        <v>1938</v>
      </c>
      <c r="C73" s="91" t="s">
        <v>1939</v>
      </c>
      <c r="D73" s="91" t="s">
        <v>1939</v>
      </c>
      <c r="E73" s="316">
        <v>80.836780000000005</v>
      </c>
      <c r="F73" s="101" t="s">
        <v>37</v>
      </c>
      <c r="G73" s="304">
        <v>6083</v>
      </c>
      <c r="H73" s="316">
        <v>29.39</v>
      </c>
      <c r="I73" s="304">
        <v>2.8</v>
      </c>
      <c r="J73" s="205" t="s">
        <v>1934</v>
      </c>
      <c r="K73" s="123" t="s">
        <v>21</v>
      </c>
    </row>
    <row r="74" spans="1:12" ht="56.25" x14ac:dyDescent="0.25">
      <c r="A74" s="123">
        <v>38</v>
      </c>
      <c r="B74" s="312" t="s">
        <v>1936</v>
      </c>
      <c r="C74" s="91" t="s">
        <v>1937</v>
      </c>
      <c r="D74" s="91" t="s">
        <v>1937</v>
      </c>
      <c r="E74" s="316">
        <v>0.5</v>
      </c>
      <c r="F74" s="254" t="s">
        <v>1902</v>
      </c>
      <c r="G74" s="304">
        <v>4000</v>
      </c>
      <c r="H74" s="316">
        <v>0.2</v>
      </c>
      <c r="I74" s="304">
        <v>2.5</v>
      </c>
      <c r="J74" s="205" t="s">
        <v>1149</v>
      </c>
      <c r="K74" s="123" t="s">
        <v>21</v>
      </c>
    </row>
    <row r="75" spans="1:12" ht="56.25" x14ac:dyDescent="0.25">
      <c r="A75" s="123">
        <v>39</v>
      </c>
      <c r="B75" s="91" t="s">
        <v>1757</v>
      </c>
      <c r="C75" s="91" t="s">
        <v>1945</v>
      </c>
      <c r="D75" s="91" t="s">
        <v>1945</v>
      </c>
      <c r="E75" s="316">
        <v>5.62</v>
      </c>
      <c r="F75" s="254" t="s">
        <v>1902</v>
      </c>
      <c r="G75" s="304">
        <v>8213</v>
      </c>
      <c r="H75" s="316">
        <v>0.42699999999999999</v>
      </c>
      <c r="I75" s="304">
        <v>13.6</v>
      </c>
      <c r="J75" s="123" t="s">
        <v>438</v>
      </c>
      <c r="K75" s="123" t="s">
        <v>21</v>
      </c>
    </row>
    <row r="76" spans="1:12" ht="37.5" x14ac:dyDescent="0.25">
      <c r="A76" s="123">
        <v>40</v>
      </c>
      <c r="B76" s="91" t="s">
        <v>1183</v>
      </c>
      <c r="C76" s="91" t="s">
        <v>1941</v>
      </c>
      <c r="D76" s="91" t="s">
        <v>1941</v>
      </c>
      <c r="E76" s="316">
        <v>4.1680000000000001</v>
      </c>
      <c r="F76" s="254" t="s">
        <v>1902</v>
      </c>
      <c r="G76" s="304">
        <v>31583</v>
      </c>
      <c r="H76" s="316">
        <v>1.1100000000000001</v>
      </c>
      <c r="I76" s="304">
        <v>3.8</v>
      </c>
      <c r="J76" s="205" t="s">
        <v>1942</v>
      </c>
      <c r="K76" s="123" t="s">
        <v>21</v>
      </c>
    </row>
    <row r="77" spans="1:12" x14ac:dyDescent="0.25">
      <c r="A77" s="123"/>
      <c r="B77" s="213" t="s">
        <v>1871</v>
      </c>
      <c r="C77" s="212"/>
      <c r="D77" s="212"/>
      <c r="E77" s="247">
        <f>SUM(E6:E76)</f>
        <v>5166.5667989999993</v>
      </c>
      <c r="F77" s="247"/>
      <c r="G77" s="247"/>
      <c r="H77" s="247">
        <f>SUM(H6:H76)</f>
        <v>638.955511</v>
      </c>
      <c r="I77" s="123"/>
      <c r="J77" s="123"/>
      <c r="K77" s="123"/>
      <c r="L77" s="208"/>
    </row>
  </sheetData>
  <mergeCells count="59">
    <mergeCell ref="C59:C61"/>
    <mergeCell ref="B59:B61"/>
    <mergeCell ref="A59:A61"/>
    <mergeCell ref="C39:C48"/>
    <mergeCell ref="B39:B48"/>
    <mergeCell ref="A39:A48"/>
    <mergeCell ref="C49:C58"/>
    <mergeCell ref="B49:B58"/>
    <mergeCell ref="A49:A58"/>
    <mergeCell ref="A19:A20"/>
    <mergeCell ref="B19:B20"/>
    <mergeCell ref="C19:C20"/>
    <mergeCell ref="J19:J20"/>
    <mergeCell ref="A21:A24"/>
    <mergeCell ref="B21:B24"/>
    <mergeCell ref="C21:C24"/>
    <mergeCell ref="J21:J24"/>
    <mergeCell ref="C25:C28"/>
    <mergeCell ref="B25:B28"/>
    <mergeCell ref="A25:A28"/>
    <mergeCell ref="J25:J28"/>
    <mergeCell ref="L4:L5"/>
    <mergeCell ref="C15:C16"/>
    <mergeCell ref="E15:E16"/>
    <mergeCell ref="I15:I16"/>
    <mergeCell ref="J15:J16"/>
    <mergeCell ref="K15:K16"/>
    <mergeCell ref="J8:J9"/>
    <mergeCell ref="B17:B18"/>
    <mergeCell ref="A17:A18"/>
    <mergeCell ref="J17:J18"/>
    <mergeCell ref="A15:A16"/>
    <mergeCell ref="B15:B16"/>
    <mergeCell ref="J6:J7"/>
    <mergeCell ref="K6:K7"/>
    <mergeCell ref="A8:A9"/>
    <mergeCell ref="I6:I7"/>
    <mergeCell ref="K8:K9"/>
    <mergeCell ref="A6:A7"/>
    <mergeCell ref="B6:B7"/>
    <mergeCell ref="C6:C7"/>
    <mergeCell ref="D6:D7"/>
    <mergeCell ref="E6:E7"/>
    <mergeCell ref="B8:B9"/>
    <mergeCell ref="C8:C9"/>
    <mergeCell ref="D8:D9"/>
    <mergeCell ref="E8:E9"/>
    <mergeCell ref="I8:I9"/>
    <mergeCell ref="A2:K2"/>
    <mergeCell ref="A4:A5"/>
    <mergeCell ref="B4:B5"/>
    <mergeCell ref="C4:C5"/>
    <mergeCell ref="D4:D5"/>
    <mergeCell ref="E4:E5"/>
    <mergeCell ref="F4:G4"/>
    <mergeCell ref="H4:H5"/>
    <mergeCell ref="I4:I5"/>
    <mergeCell ref="J4:J5"/>
    <mergeCell ref="K4:K5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822"/>
  <sheetViews>
    <sheetView zoomScale="55" zoomScaleNormal="55" zoomScaleSheetLayoutView="70" workbookViewId="0">
      <pane ySplit="5" topLeftCell="A793" activePane="bottomLeft" state="frozen"/>
      <selection pane="bottomLeft" activeCell="G801" sqref="G801"/>
    </sheetView>
  </sheetViews>
  <sheetFormatPr defaultColWidth="9.140625" defaultRowHeight="18.75" x14ac:dyDescent="0.25"/>
  <cols>
    <col min="1" max="1" width="7.28515625" style="215" customWidth="1"/>
    <col min="2" max="2" width="54.28515625" style="243" customWidth="1"/>
    <col min="3" max="3" width="67.5703125" style="243" customWidth="1"/>
    <col min="4" max="4" width="77.5703125" style="243" customWidth="1"/>
    <col min="5" max="5" width="43.5703125" style="215" customWidth="1"/>
    <col min="6" max="7" width="41" style="398" customWidth="1"/>
    <col min="8" max="8" width="30.5703125" style="215" customWidth="1"/>
    <col min="9" max="9" width="18.28515625" style="215" customWidth="1"/>
    <col min="10" max="10" width="29.5703125" style="215" customWidth="1"/>
    <col min="11" max="11" width="28.28515625" style="398" customWidth="1"/>
    <col min="12" max="12" width="21.5703125" style="215" customWidth="1"/>
    <col min="13" max="13" width="38" style="215" customWidth="1"/>
    <col min="14" max="14" width="38.85546875" style="215" customWidth="1"/>
    <col min="15" max="15" width="23.28515625" style="215" customWidth="1"/>
    <col min="16" max="16" width="38" style="223" hidden="1" customWidth="1"/>
    <col min="17" max="17" width="19.28515625" style="223" customWidth="1"/>
    <col min="18" max="18" width="15.140625" style="223" customWidth="1"/>
    <col min="19" max="19" width="24.28515625" style="223" customWidth="1"/>
    <col min="20" max="16384" width="9.140625" style="223"/>
  </cols>
  <sheetData>
    <row r="1" spans="1:17" x14ac:dyDescent="0.25">
      <c r="A1" s="16"/>
      <c r="B1" s="222"/>
      <c r="C1" s="222"/>
      <c r="D1" s="222"/>
      <c r="E1" s="16"/>
      <c r="F1" s="400"/>
      <c r="G1" s="400"/>
      <c r="H1" s="400"/>
      <c r="I1" s="400"/>
      <c r="J1" s="400"/>
      <c r="K1" s="400"/>
      <c r="L1" s="16"/>
      <c r="M1" s="16"/>
      <c r="N1" s="16"/>
      <c r="O1" s="16"/>
      <c r="P1" s="222"/>
    </row>
    <row r="2" spans="1:17" x14ac:dyDescent="0.25">
      <c r="A2" s="16"/>
      <c r="B2" s="222"/>
      <c r="C2" s="222"/>
      <c r="D2" s="222"/>
      <c r="E2" s="16"/>
      <c r="F2" s="400"/>
      <c r="G2" s="400"/>
      <c r="H2" s="400"/>
      <c r="I2" s="400"/>
      <c r="J2" s="400"/>
      <c r="K2" s="400"/>
      <c r="L2" s="16"/>
      <c r="M2" s="16"/>
      <c r="N2" s="16"/>
      <c r="O2" s="16"/>
      <c r="P2" s="222"/>
    </row>
    <row r="3" spans="1:17" ht="19.5" thickBot="1" x14ac:dyDescent="0.3">
      <c r="A3" s="16"/>
      <c r="B3" s="222"/>
      <c r="C3" s="222"/>
      <c r="D3" s="222"/>
      <c r="E3" s="16"/>
      <c r="F3" s="400"/>
      <c r="G3" s="400"/>
      <c r="H3" s="400"/>
      <c r="I3" s="400"/>
      <c r="J3" s="400"/>
      <c r="K3" s="400"/>
      <c r="L3" s="16"/>
      <c r="M3" s="16"/>
      <c r="N3" s="16"/>
      <c r="O3" s="16"/>
      <c r="P3" s="222"/>
    </row>
    <row r="4" spans="1:17" x14ac:dyDescent="0.25">
      <c r="A4" s="435" t="s">
        <v>0</v>
      </c>
      <c r="B4" s="526" t="s">
        <v>530</v>
      </c>
      <c r="C4" s="526" t="s">
        <v>1</v>
      </c>
      <c r="D4" s="526" t="s">
        <v>2</v>
      </c>
      <c r="E4" s="436" t="s">
        <v>6</v>
      </c>
      <c r="F4" s="437" t="s">
        <v>1771</v>
      </c>
      <c r="G4" s="437" t="s">
        <v>1766</v>
      </c>
      <c r="H4" s="436" t="s">
        <v>7</v>
      </c>
      <c r="I4" s="436" t="s">
        <v>1767</v>
      </c>
      <c r="J4" s="436"/>
      <c r="K4" s="437" t="s">
        <v>1768</v>
      </c>
      <c r="L4" s="436" t="s">
        <v>1769</v>
      </c>
      <c r="M4" s="432" t="s">
        <v>9</v>
      </c>
      <c r="N4" s="523" t="s">
        <v>1770</v>
      </c>
      <c r="O4" s="432" t="s">
        <v>8</v>
      </c>
      <c r="P4" s="533" t="s">
        <v>1772</v>
      </c>
    </row>
    <row r="5" spans="1:17" ht="67.5" customHeight="1" x14ac:dyDescent="0.25">
      <c r="A5" s="525"/>
      <c r="B5" s="527"/>
      <c r="C5" s="527"/>
      <c r="D5" s="527"/>
      <c r="E5" s="521"/>
      <c r="F5" s="528"/>
      <c r="G5" s="528"/>
      <c r="H5" s="521"/>
      <c r="I5" s="366" t="s">
        <v>11</v>
      </c>
      <c r="J5" s="366" t="s">
        <v>12</v>
      </c>
      <c r="K5" s="528"/>
      <c r="L5" s="521"/>
      <c r="M5" s="522"/>
      <c r="N5" s="524"/>
      <c r="O5" s="522"/>
      <c r="P5" s="534"/>
      <c r="Q5" s="519"/>
    </row>
    <row r="6" spans="1:17" ht="37.5" x14ac:dyDescent="0.25">
      <c r="A6" s="101">
        <v>1</v>
      </c>
      <c r="B6" s="117" t="s">
        <v>17</v>
      </c>
      <c r="C6" s="117" t="s">
        <v>14</v>
      </c>
      <c r="D6" s="117" t="s">
        <v>15</v>
      </c>
      <c r="E6" s="101" t="s">
        <v>1450</v>
      </c>
      <c r="F6" s="102">
        <v>13.754741900000001</v>
      </c>
      <c r="G6" s="89">
        <v>13.754741900000001</v>
      </c>
      <c r="H6" s="101" t="s">
        <v>428</v>
      </c>
      <c r="I6" s="101" t="s">
        <v>1110</v>
      </c>
      <c r="J6" s="90">
        <v>141875</v>
      </c>
      <c r="K6" s="89">
        <v>2.5055069900000002</v>
      </c>
      <c r="L6" s="101">
        <v>5</v>
      </c>
      <c r="M6" s="101" t="s">
        <v>20</v>
      </c>
      <c r="N6" s="101" t="s">
        <v>21</v>
      </c>
      <c r="O6" s="101">
        <v>2016</v>
      </c>
      <c r="P6" s="168" t="s">
        <v>20</v>
      </c>
      <c r="Q6" s="519"/>
    </row>
    <row r="7" spans="1:17" ht="26.25" customHeight="1" x14ac:dyDescent="0.25">
      <c r="A7" s="101"/>
      <c r="B7" s="507" t="s">
        <v>22</v>
      </c>
      <c r="C7" s="507"/>
      <c r="D7" s="169"/>
      <c r="E7" s="47"/>
      <c r="F7" s="37">
        <f>SUM(F6)</f>
        <v>13.754741900000001</v>
      </c>
      <c r="G7" s="92">
        <f>SUM(G6)</f>
        <v>13.754741900000001</v>
      </c>
      <c r="H7" s="47"/>
      <c r="I7" s="47"/>
      <c r="J7" s="47"/>
      <c r="K7" s="92">
        <f>SUM(K6)</f>
        <v>2.5055069900000002</v>
      </c>
      <c r="L7" s="47"/>
      <c r="M7" s="101"/>
      <c r="N7" s="101"/>
      <c r="O7" s="47"/>
      <c r="P7" s="168"/>
    </row>
    <row r="8" spans="1:17" ht="37.5" x14ac:dyDescent="0.25">
      <c r="A8" s="427">
        <v>2</v>
      </c>
      <c r="B8" s="439" t="s">
        <v>1320</v>
      </c>
      <c r="C8" s="439" t="s">
        <v>1318</v>
      </c>
      <c r="D8" s="117" t="s">
        <v>24</v>
      </c>
      <c r="E8" s="427" t="s">
        <v>25</v>
      </c>
      <c r="F8" s="89">
        <v>24.4</v>
      </c>
      <c r="G8" s="89">
        <v>24.4</v>
      </c>
      <c r="H8" s="427" t="s">
        <v>1112</v>
      </c>
      <c r="I8" s="101" t="s">
        <v>1110</v>
      </c>
      <c r="J8" s="101">
        <v>1048061.5</v>
      </c>
      <c r="K8" s="89">
        <v>5.4184799999999997</v>
      </c>
      <c r="L8" s="101">
        <v>4.5</v>
      </c>
      <c r="M8" s="427" t="s">
        <v>27</v>
      </c>
      <c r="N8" s="427" t="s">
        <v>21</v>
      </c>
      <c r="O8" s="427">
        <v>2016</v>
      </c>
      <c r="P8" s="535" t="s">
        <v>27</v>
      </c>
    </row>
    <row r="9" spans="1:17" x14ac:dyDescent="0.25">
      <c r="A9" s="427"/>
      <c r="B9" s="439"/>
      <c r="C9" s="439"/>
      <c r="D9" s="117" t="s">
        <v>28</v>
      </c>
      <c r="E9" s="427"/>
      <c r="F9" s="89">
        <v>4.03</v>
      </c>
      <c r="G9" s="89">
        <v>4.03</v>
      </c>
      <c r="H9" s="427"/>
      <c r="I9" s="101" t="s">
        <v>1110</v>
      </c>
      <c r="J9" s="101">
        <v>182193.5</v>
      </c>
      <c r="K9" s="89">
        <v>0.94194</v>
      </c>
      <c r="L9" s="101">
        <v>4.3</v>
      </c>
      <c r="M9" s="427"/>
      <c r="N9" s="427"/>
      <c r="O9" s="427"/>
      <c r="P9" s="535"/>
    </row>
    <row r="10" spans="1:17" x14ac:dyDescent="0.25">
      <c r="A10" s="427"/>
      <c r="B10" s="439"/>
      <c r="C10" s="439"/>
      <c r="D10" s="117" t="s">
        <v>29</v>
      </c>
      <c r="E10" s="427"/>
      <c r="F10" s="89">
        <v>18.48</v>
      </c>
      <c r="G10" s="89">
        <v>18.48</v>
      </c>
      <c r="H10" s="427"/>
      <c r="I10" s="101" t="s">
        <v>1110</v>
      </c>
      <c r="J10" s="101">
        <v>607285.5</v>
      </c>
      <c r="K10" s="89">
        <v>3.1396700000000002</v>
      </c>
      <c r="L10" s="101">
        <v>5.9</v>
      </c>
      <c r="M10" s="427"/>
      <c r="N10" s="427"/>
      <c r="O10" s="427"/>
      <c r="P10" s="535"/>
    </row>
    <row r="11" spans="1:17" x14ac:dyDescent="0.25">
      <c r="A11" s="427"/>
      <c r="B11" s="439"/>
      <c r="C11" s="439"/>
      <c r="D11" s="117" t="s">
        <v>30</v>
      </c>
      <c r="E11" s="427"/>
      <c r="F11" s="89">
        <v>0.94</v>
      </c>
      <c r="G11" s="89">
        <v>0.94</v>
      </c>
      <c r="H11" s="427"/>
      <c r="I11" s="101" t="s">
        <v>1110</v>
      </c>
      <c r="J11" s="367">
        <v>38080</v>
      </c>
      <c r="K11" s="89">
        <v>0.19686999999999999</v>
      </c>
      <c r="L11" s="101">
        <v>4.8</v>
      </c>
      <c r="M11" s="427"/>
      <c r="N11" s="427"/>
      <c r="O11" s="427"/>
      <c r="P11" s="535"/>
    </row>
    <row r="12" spans="1:17" ht="37.5" x14ac:dyDescent="0.25">
      <c r="A12" s="427"/>
      <c r="B12" s="439"/>
      <c r="C12" s="439"/>
      <c r="D12" s="117" t="s">
        <v>31</v>
      </c>
      <c r="E12" s="427"/>
      <c r="F12" s="89">
        <v>0.33</v>
      </c>
      <c r="G12" s="89">
        <v>0.33</v>
      </c>
      <c r="H12" s="427"/>
      <c r="I12" s="101" t="s">
        <v>1110</v>
      </c>
      <c r="J12" s="101">
        <v>14114.5</v>
      </c>
      <c r="K12" s="89">
        <v>7.2969999999999993E-2</v>
      </c>
      <c r="L12" s="101">
        <v>4.5</v>
      </c>
      <c r="M12" s="427"/>
      <c r="N12" s="427"/>
      <c r="O12" s="427"/>
      <c r="P12" s="535"/>
    </row>
    <row r="13" spans="1:17" x14ac:dyDescent="0.25">
      <c r="A13" s="427"/>
      <c r="B13" s="439"/>
      <c r="C13" s="439"/>
      <c r="D13" s="117" t="s">
        <v>32</v>
      </c>
      <c r="E13" s="427"/>
      <c r="F13" s="87">
        <v>9.5000000000000001E-2</v>
      </c>
      <c r="G13" s="89">
        <v>9.5000000000000001E-2</v>
      </c>
      <c r="H13" s="427"/>
      <c r="I13" s="101" t="s">
        <v>1110</v>
      </c>
      <c r="J13" s="367">
        <v>4404</v>
      </c>
      <c r="K13" s="89">
        <f>22.77/1000</f>
        <v>2.2769999999999999E-2</v>
      </c>
      <c r="L13" s="101">
        <v>4.2</v>
      </c>
      <c r="M13" s="427"/>
      <c r="N13" s="427"/>
      <c r="O13" s="427"/>
      <c r="P13" s="535"/>
    </row>
    <row r="14" spans="1:17" x14ac:dyDescent="0.25">
      <c r="A14" s="427"/>
      <c r="B14" s="439"/>
      <c r="C14" s="439"/>
      <c r="D14" s="117" t="s">
        <v>33</v>
      </c>
      <c r="E14" s="427"/>
      <c r="F14" s="89">
        <v>24.66</v>
      </c>
      <c r="G14" s="89">
        <v>24.66</v>
      </c>
      <c r="H14" s="427"/>
      <c r="I14" s="101" t="s">
        <v>1110</v>
      </c>
      <c r="J14" s="101">
        <v>4586500</v>
      </c>
      <c r="K14" s="89">
        <f>23712.21/1000</f>
        <v>23.712209999999999</v>
      </c>
      <c r="L14" s="101">
        <v>1</v>
      </c>
      <c r="M14" s="427"/>
      <c r="N14" s="427"/>
      <c r="O14" s="427"/>
      <c r="P14" s="535"/>
    </row>
    <row r="15" spans="1:17" ht="15.75" customHeight="1" x14ac:dyDescent="0.25">
      <c r="A15" s="101"/>
      <c r="B15" s="507" t="s">
        <v>22</v>
      </c>
      <c r="C15" s="507"/>
      <c r="D15" s="169"/>
      <c r="E15" s="47"/>
      <c r="F15" s="88">
        <f>SUM(F8:F14)</f>
        <v>72.934999999999988</v>
      </c>
      <c r="G15" s="92">
        <f>SUM(G8:G14)</f>
        <v>72.934999999999988</v>
      </c>
      <c r="H15" s="47"/>
      <c r="I15" s="47"/>
      <c r="J15" s="47"/>
      <c r="K15" s="92">
        <f>SUM(K8:K14)</f>
        <v>33.504909999999995</v>
      </c>
      <c r="L15" s="47"/>
      <c r="M15" s="101"/>
      <c r="N15" s="101"/>
      <c r="O15" s="47"/>
      <c r="P15" s="168"/>
    </row>
    <row r="16" spans="1:17" x14ac:dyDescent="0.25">
      <c r="A16" s="427">
        <v>3</v>
      </c>
      <c r="B16" s="439" t="s">
        <v>1333</v>
      </c>
      <c r="C16" s="439" t="s">
        <v>1334</v>
      </c>
      <c r="D16" s="117" t="s">
        <v>36</v>
      </c>
      <c r="E16" s="427" t="s">
        <v>38</v>
      </c>
      <c r="F16" s="87">
        <v>5</v>
      </c>
      <c r="G16" s="89">
        <v>5</v>
      </c>
      <c r="H16" s="427" t="s">
        <v>56</v>
      </c>
      <c r="I16" s="101" t="s">
        <v>37</v>
      </c>
      <c r="J16" s="101" t="s">
        <v>1280</v>
      </c>
      <c r="K16" s="89">
        <v>0.73530899999999999</v>
      </c>
      <c r="L16" s="101">
        <v>7</v>
      </c>
      <c r="M16" s="427" t="s">
        <v>43</v>
      </c>
      <c r="N16" s="427" t="s">
        <v>21</v>
      </c>
      <c r="O16" s="427">
        <v>2016</v>
      </c>
      <c r="P16" s="535" t="s">
        <v>43</v>
      </c>
    </row>
    <row r="17" spans="1:16" ht="37.5" x14ac:dyDescent="0.25">
      <c r="A17" s="427"/>
      <c r="B17" s="439"/>
      <c r="C17" s="439"/>
      <c r="D17" s="117" t="s">
        <v>39</v>
      </c>
      <c r="E17" s="427"/>
      <c r="F17" s="87">
        <v>7</v>
      </c>
      <c r="G17" s="89">
        <v>7</v>
      </c>
      <c r="H17" s="427"/>
      <c r="I17" s="101" t="s">
        <v>37</v>
      </c>
      <c r="J17" s="101">
        <v>144.6</v>
      </c>
      <c r="K17" s="89">
        <v>0.88553000000000004</v>
      </c>
      <c r="L17" s="101">
        <v>8</v>
      </c>
      <c r="M17" s="427"/>
      <c r="N17" s="427"/>
      <c r="O17" s="427"/>
      <c r="P17" s="535"/>
    </row>
    <row r="18" spans="1:16" x14ac:dyDescent="0.25">
      <c r="A18" s="427"/>
      <c r="B18" s="439"/>
      <c r="C18" s="439"/>
      <c r="D18" s="117" t="s">
        <v>1335</v>
      </c>
      <c r="E18" s="427"/>
      <c r="F18" s="87">
        <v>1.5</v>
      </c>
      <c r="G18" s="89">
        <v>1.5</v>
      </c>
      <c r="H18" s="427"/>
      <c r="I18" s="101" t="s">
        <v>1110</v>
      </c>
      <c r="J18" s="90">
        <v>19950</v>
      </c>
      <c r="K18" s="89">
        <v>0.25861200000000001</v>
      </c>
      <c r="L18" s="101">
        <v>6</v>
      </c>
      <c r="M18" s="427"/>
      <c r="N18" s="427"/>
      <c r="O18" s="427"/>
      <c r="P18" s="535"/>
    </row>
    <row r="19" spans="1:16" ht="19.5" x14ac:dyDescent="0.25">
      <c r="A19" s="101"/>
      <c r="B19" s="507" t="s">
        <v>22</v>
      </c>
      <c r="C19" s="507"/>
      <c r="D19" s="169"/>
      <c r="E19" s="47"/>
      <c r="F19" s="88">
        <f>SUM(F16:F18)</f>
        <v>13.5</v>
      </c>
      <c r="G19" s="92">
        <f>SUM(G16:G18)</f>
        <v>13.5</v>
      </c>
      <c r="H19" s="47"/>
      <c r="I19" s="47"/>
      <c r="J19" s="47"/>
      <c r="K19" s="92">
        <f>SUM(K16:K18)</f>
        <v>1.8794510000000002</v>
      </c>
      <c r="L19" s="47"/>
      <c r="M19" s="101"/>
      <c r="N19" s="101"/>
      <c r="O19" s="47"/>
      <c r="P19" s="168"/>
    </row>
    <row r="20" spans="1:16" x14ac:dyDescent="0.25">
      <c r="A20" s="427">
        <v>4</v>
      </c>
      <c r="B20" s="439" t="s">
        <v>1321</v>
      </c>
      <c r="C20" s="439" t="s">
        <v>1322</v>
      </c>
      <c r="D20" s="117" t="s">
        <v>42</v>
      </c>
      <c r="E20" s="427" t="s">
        <v>38</v>
      </c>
      <c r="F20" s="122">
        <v>5.5</v>
      </c>
      <c r="G20" s="89">
        <v>5.5</v>
      </c>
      <c r="H20" s="427" t="s">
        <v>56</v>
      </c>
      <c r="I20" s="101" t="s">
        <v>37</v>
      </c>
      <c r="J20" s="101">
        <v>183</v>
      </c>
      <c r="K20" s="89">
        <v>1.120692</v>
      </c>
      <c r="L20" s="101">
        <v>5</v>
      </c>
      <c r="M20" s="427" t="s">
        <v>43</v>
      </c>
      <c r="N20" s="427" t="s">
        <v>21</v>
      </c>
      <c r="O20" s="427">
        <v>2016</v>
      </c>
      <c r="P20" s="535" t="s">
        <v>43</v>
      </c>
    </row>
    <row r="21" spans="1:16" ht="37.5" x14ac:dyDescent="0.25">
      <c r="A21" s="427"/>
      <c r="B21" s="439"/>
      <c r="C21" s="439"/>
      <c r="D21" s="117" t="s">
        <v>39</v>
      </c>
      <c r="E21" s="427"/>
      <c r="F21" s="90">
        <v>7</v>
      </c>
      <c r="G21" s="89">
        <v>7</v>
      </c>
      <c r="H21" s="427"/>
      <c r="I21" s="101" t="s">
        <v>37</v>
      </c>
      <c r="J21" s="101">
        <v>145</v>
      </c>
      <c r="K21" s="89">
        <v>0.88797999999999999</v>
      </c>
      <c r="L21" s="101">
        <v>8</v>
      </c>
      <c r="M21" s="427"/>
      <c r="N21" s="427"/>
      <c r="O21" s="427"/>
      <c r="P21" s="535"/>
    </row>
    <row r="22" spans="1:16" x14ac:dyDescent="0.25">
      <c r="A22" s="427"/>
      <c r="B22" s="439"/>
      <c r="C22" s="439"/>
      <c r="D22" s="117" t="s">
        <v>40</v>
      </c>
      <c r="E22" s="427"/>
      <c r="F22" s="122">
        <v>1.5</v>
      </c>
      <c r="G22" s="89">
        <v>1.5</v>
      </c>
      <c r="H22" s="427"/>
      <c r="I22" s="101" t="s">
        <v>1110</v>
      </c>
      <c r="J22" s="90">
        <v>24107</v>
      </c>
      <c r="K22" s="89">
        <v>0.31249900000000003</v>
      </c>
      <c r="L22" s="101">
        <v>5</v>
      </c>
      <c r="M22" s="427"/>
      <c r="N22" s="427"/>
      <c r="O22" s="427"/>
      <c r="P22" s="535"/>
    </row>
    <row r="23" spans="1:16" ht="19.5" x14ac:dyDescent="0.25">
      <c r="A23" s="101"/>
      <c r="B23" s="507" t="s">
        <v>22</v>
      </c>
      <c r="C23" s="507"/>
      <c r="D23" s="169"/>
      <c r="E23" s="47"/>
      <c r="F23" s="88">
        <f>SUM(F20:F22)</f>
        <v>14</v>
      </c>
      <c r="G23" s="92">
        <f>SUM(G20:G22)</f>
        <v>14</v>
      </c>
      <c r="H23" s="47"/>
      <c r="I23" s="47"/>
      <c r="J23" s="47"/>
      <c r="K23" s="92">
        <f>SUM(K20:K22)</f>
        <v>2.3211709999999997</v>
      </c>
      <c r="L23" s="47"/>
      <c r="M23" s="101"/>
      <c r="N23" s="101"/>
      <c r="O23" s="47"/>
      <c r="P23" s="168"/>
    </row>
    <row r="24" spans="1:16" ht="55.35" customHeight="1" x14ac:dyDescent="0.25">
      <c r="A24" s="101">
        <v>5</v>
      </c>
      <c r="B24" s="117" t="s">
        <v>47</v>
      </c>
      <c r="C24" s="117" t="s">
        <v>1323</v>
      </c>
      <c r="D24" s="117" t="s">
        <v>46</v>
      </c>
      <c r="E24" s="101" t="s">
        <v>47</v>
      </c>
      <c r="F24" s="87">
        <v>25.08</v>
      </c>
      <c r="G24" s="89">
        <v>25.08</v>
      </c>
      <c r="H24" s="101" t="s">
        <v>1112</v>
      </c>
      <c r="I24" s="101" t="s">
        <v>1170</v>
      </c>
      <c r="J24" s="90">
        <v>253950</v>
      </c>
      <c r="K24" s="89">
        <v>8.36</v>
      </c>
      <c r="L24" s="101">
        <v>3</v>
      </c>
      <c r="M24" s="101" t="s">
        <v>1068</v>
      </c>
      <c r="N24" s="101" t="s">
        <v>21</v>
      </c>
      <c r="O24" s="101">
        <v>2016</v>
      </c>
      <c r="P24" s="168" t="s">
        <v>1068</v>
      </c>
    </row>
    <row r="25" spans="1:16" ht="19.5" x14ac:dyDescent="0.25">
      <c r="A25" s="101"/>
      <c r="B25" s="507" t="s">
        <v>22</v>
      </c>
      <c r="C25" s="507"/>
      <c r="D25" s="169"/>
      <c r="E25" s="47"/>
      <c r="F25" s="88">
        <f>SUM(F24)</f>
        <v>25.08</v>
      </c>
      <c r="G25" s="92">
        <f>SUM(G24)</f>
        <v>25.08</v>
      </c>
      <c r="H25" s="47"/>
      <c r="I25" s="47"/>
      <c r="J25" s="47"/>
      <c r="K25" s="92">
        <f>SUM(K24)</f>
        <v>8.36</v>
      </c>
      <c r="L25" s="47"/>
      <c r="M25" s="101"/>
      <c r="N25" s="101"/>
      <c r="O25" s="47"/>
      <c r="P25" s="168"/>
    </row>
    <row r="26" spans="1:16" ht="75" x14ac:dyDescent="0.25">
      <c r="A26" s="101">
        <v>6</v>
      </c>
      <c r="B26" s="117" t="s">
        <v>52</v>
      </c>
      <c r="C26" s="117" t="s">
        <v>1324</v>
      </c>
      <c r="D26" s="117" t="s">
        <v>51</v>
      </c>
      <c r="E26" s="101" t="s">
        <v>52</v>
      </c>
      <c r="F26" s="87">
        <v>168.737765</v>
      </c>
      <c r="G26" s="89">
        <v>168.737765</v>
      </c>
      <c r="H26" s="101" t="s">
        <v>1112</v>
      </c>
      <c r="I26" s="101" t="s">
        <v>16</v>
      </c>
      <c r="J26" s="90">
        <v>4069677</v>
      </c>
      <c r="K26" s="89">
        <v>52.344185000000003</v>
      </c>
      <c r="L26" s="101">
        <v>4</v>
      </c>
      <c r="M26" s="101" t="s">
        <v>20</v>
      </c>
      <c r="N26" s="101" t="s">
        <v>21</v>
      </c>
      <c r="O26" s="101">
        <v>2016</v>
      </c>
      <c r="P26" s="168" t="s">
        <v>20</v>
      </c>
    </row>
    <row r="27" spans="1:16" ht="19.5" x14ac:dyDescent="0.25">
      <c r="A27" s="101"/>
      <c r="B27" s="507" t="s">
        <v>22</v>
      </c>
      <c r="C27" s="507"/>
      <c r="D27" s="169"/>
      <c r="E27" s="47"/>
      <c r="F27" s="88">
        <f>SUM(F26)</f>
        <v>168.737765</v>
      </c>
      <c r="G27" s="92">
        <f>SUM(G26)</f>
        <v>168.737765</v>
      </c>
      <c r="H27" s="47"/>
      <c r="I27" s="47"/>
      <c r="J27" s="47"/>
      <c r="K27" s="92">
        <f>SUM(K26)</f>
        <v>52.344185000000003</v>
      </c>
      <c r="L27" s="47"/>
      <c r="M27" s="101"/>
      <c r="N27" s="101"/>
      <c r="O27" s="47"/>
      <c r="P27" s="168"/>
    </row>
    <row r="28" spans="1:16" x14ac:dyDescent="0.25">
      <c r="A28" s="427">
        <v>7</v>
      </c>
      <c r="B28" s="439" t="s">
        <v>55</v>
      </c>
      <c r="C28" s="439" t="s">
        <v>1627</v>
      </c>
      <c r="D28" s="117" t="s">
        <v>42</v>
      </c>
      <c r="E28" s="427" t="s">
        <v>38</v>
      </c>
      <c r="F28" s="87">
        <v>5.6</v>
      </c>
      <c r="G28" s="89">
        <v>5.6</v>
      </c>
      <c r="H28" s="427" t="s">
        <v>56</v>
      </c>
      <c r="I28" s="101" t="s">
        <v>37</v>
      </c>
      <c r="J28" s="101">
        <v>134.47999999999999</v>
      </c>
      <c r="K28" s="89">
        <v>0.82355599999999995</v>
      </c>
      <c r="L28" s="101">
        <v>7</v>
      </c>
      <c r="M28" s="427" t="s">
        <v>43</v>
      </c>
      <c r="N28" s="427" t="s">
        <v>21</v>
      </c>
      <c r="O28" s="101">
        <v>2016</v>
      </c>
      <c r="P28" s="535" t="s">
        <v>43</v>
      </c>
    </row>
    <row r="29" spans="1:16" ht="37.5" x14ac:dyDescent="0.25">
      <c r="A29" s="427"/>
      <c r="B29" s="439"/>
      <c r="C29" s="439"/>
      <c r="D29" s="117" t="s">
        <v>39</v>
      </c>
      <c r="E29" s="427"/>
      <c r="F29" s="87">
        <v>7</v>
      </c>
      <c r="G29" s="89">
        <v>7</v>
      </c>
      <c r="H29" s="427"/>
      <c r="I29" s="101" t="s">
        <v>37</v>
      </c>
      <c r="J29" s="101">
        <v>146.5</v>
      </c>
      <c r="K29" s="89">
        <v>0.89716600000000002</v>
      </c>
      <c r="L29" s="101">
        <v>8</v>
      </c>
      <c r="M29" s="427"/>
      <c r="N29" s="427"/>
      <c r="O29" s="101">
        <v>2016</v>
      </c>
      <c r="P29" s="535"/>
    </row>
    <row r="30" spans="1:16" x14ac:dyDescent="0.25">
      <c r="A30" s="427"/>
      <c r="B30" s="439"/>
      <c r="C30" s="439"/>
      <c r="D30" s="117" t="s">
        <v>40</v>
      </c>
      <c r="E30" s="427"/>
      <c r="F30" s="87">
        <v>1.5</v>
      </c>
      <c r="G30" s="89">
        <v>1.5</v>
      </c>
      <c r="H30" s="427"/>
      <c r="I30" s="101" t="s">
        <v>1110</v>
      </c>
      <c r="J30" s="101">
        <v>23615</v>
      </c>
      <c r="K30" s="89">
        <v>0.30612099999999998</v>
      </c>
      <c r="L30" s="101">
        <v>5</v>
      </c>
      <c r="M30" s="427"/>
      <c r="N30" s="427"/>
      <c r="O30" s="101">
        <v>2016</v>
      </c>
      <c r="P30" s="535"/>
    </row>
    <row r="31" spans="1:16" ht="19.5" x14ac:dyDescent="0.25">
      <c r="A31" s="101"/>
      <c r="B31" s="507" t="s">
        <v>22</v>
      </c>
      <c r="C31" s="507"/>
      <c r="D31" s="169"/>
      <c r="E31" s="47"/>
      <c r="F31" s="88">
        <f>SUM(F28:F30)</f>
        <v>14.1</v>
      </c>
      <c r="G31" s="92">
        <f>SUM(G28:G30)</f>
        <v>14.1</v>
      </c>
      <c r="H31" s="47"/>
      <c r="I31" s="47"/>
      <c r="J31" s="47"/>
      <c r="K31" s="92">
        <f>SUM(K28:K30)</f>
        <v>2.026843</v>
      </c>
      <c r="L31" s="47"/>
      <c r="M31" s="101"/>
      <c r="N31" s="101"/>
      <c r="O31" s="47"/>
      <c r="P31" s="168"/>
    </row>
    <row r="32" spans="1:16" ht="56.25" x14ac:dyDescent="0.25">
      <c r="A32" s="101">
        <v>8</v>
      </c>
      <c r="B32" s="117" t="s">
        <v>60</v>
      </c>
      <c r="C32" s="117" t="s">
        <v>58</v>
      </c>
      <c r="D32" s="117" t="s">
        <v>1325</v>
      </c>
      <c r="E32" s="101" t="s">
        <v>60</v>
      </c>
      <c r="F32" s="87">
        <v>19.532</v>
      </c>
      <c r="G32" s="89">
        <v>19.532</v>
      </c>
      <c r="H32" s="101" t="s">
        <v>1112</v>
      </c>
      <c r="I32" s="101" t="s">
        <v>1170</v>
      </c>
      <c r="J32" s="90">
        <v>1236000</v>
      </c>
      <c r="K32" s="89">
        <v>12.95515</v>
      </c>
      <c r="L32" s="101">
        <v>1.5</v>
      </c>
      <c r="M32" s="101" t="s">
        <v>446</v>
      </c>
      <c r="N32" s="101" t="s">
        <v>21</v>
      </c>
      <c r="O32" s="101">
        <v>2016</v>
      </c>
      <c r="P32" s="168" t="s">
        <v>446</v>
      </c>
    </row>
    <row r="33" spans="1:16" ht="19.5" x14ac:dyDescent="0.25">
      <c r="A33" s="101"/>
      <c r="B33" s="507" t="s">
        <v>22</v>
      </c>
      <c r="C33" s="507"/>
      <c r="D33" s="169"/>
      <c r="E33" s="47"/>
      <c r="F33" s="88">
        <f>SUM(F32)</f>
        <v>19.532</v>
      </c>
      <c r="G33" s="92">
        <f>SUM(G32)</f>
        <v>19.532</v>
      </c>
      <c r="H33" s="47"/>
      <c r="I33" s="47"/>
      <c r="J33" s="47"/>
      <c r="K33" s="92">
        <f>SUM(K32)</f>
        <v>12.95515</v>
      </c>
      <c r="L33" s="47"/>
      <c r="M33" s="101"/>
      <c r="N33" s="101"/>
      <c r="O33" s="47"/>
      <c r="P33" s="168"/>
    </row>
    <row r="34" spans="1:16" ht="37.35" customHeight="1" x14ac:dyDescent="0.25">
      <c r="A34" s="101">
        <v>9</v>
      </c>
      <c r="B34" s="117" t="s">
        <v>65</v>
      </c>
      <c r="C34" s="117" t="s">
        <v>1326</v>
      </c>
      <c r="D34" s="117" t="s">
        <v>63</v>
      </c>
      <c r="E34" s="101" t="s">
        <v>65</v>
      </c>
      <c r="F34" s="87">
        <v>7.1571999999999996</v>
      </c>
      <c r="G34" s="89">
        <v>7.1571999999999996</v>
      </c>
      <c r="H34" s="101" t="s">
        <v>1112</v>
      </c>
      <c r="I34" s="101" t="s">
        <v>64</v>
      </c>
      <c r="J34" s="101">
        <v>111.2</v>
      </c>
      <c r="K34" s="89">
        <v>3.1480000000000001</v>
      </c>
      <c r="L34" s="101">
        <v>2.2999999999999998</v>
      </c>
      <c r="M34" s="101" t="s">
        <v>492</v>
      </c>
      <c r="N34" s="101" t="s">
        <v>21</v>
      </c>
      <c r="O34" s="101">
        <v>2016</v>
      </c>
      <c r="P34" s="168" t="s">
        <v>492</v>
      </c>
    </row>
    <row r="35" spans="1:16" ht="19.5" x14ac:dyDescent="0.25">
      <c r="A35" s="101"/>
      <c r="B35" s="507" t="s">
        <v>22</v>
      </c>
      <c r="C35" s="507"/>
      <c r="D35" s="169"/>
      <c r="E35" s="47"/>
      <c r="F35" s="88">
        <f>SUM(F34)</f>
        <v>7.1571999999999996</v>
      </c>
      <c r="G35" s="92">
        <f>SUM(G34)</f>
        <v>7.1571999999999996</v>
      </c>
      <c r="H35" s="47"/>
      <c r="I35" s="47"/>
      <c r="J35" s="47"/>
      <c r="K35" s="92">
        <f>SUM(K34)</f>
        <v>3.1480000000000001</v>
      </c>
      <c r="L35" s="47"/>
      <c r="M35" s="101"/>
      <c r="N35" s="101"/>
      <c r="O35" s="47"/>
      <c r="P35" s="168"/>
    </row>
    <row r="36" spans="1:16" x14ac:dyDescent="0.25">
      <c r="A36" s="427">
        <v>10</v>
      </c>
      <c r="B36" s="439" t="s">
        <v>1327</v>
      </c>
      <c r="C36" s="439" t="s">
        <v>1328</v>
      </c>
      <c r="D36" s="117" t="s">
        <v>1185</v>
      </c>
      <c r="E36" s="427" t="s">
        <v>68</v>
      </c>
      <c r="F36" s="87">
        <v>8.9173209999999994</v>
      </c>
      <c r="G36" s="89">
        <v>8.9173209999999994</v>
      </c>
      <c r="H36" s="449" t="s">
        <v>1112</v>
      </c>
      <c r="I36" s="101" t="s">
        <v>1110</v>
      </c>
      <c r="J36" s="101">
        <v>1051200</v>
      </c>
      <c r="K36" s="89">
        <v>9.1454400000000007</v>
      </c>
      <c r="L36" s="101">
        <v>1</v>
      </c>
      <c r="M36" s="427" t="s">
        <v>454</v>
      </c>
      <c r="N36" s="427" t="s">
        <v>21</v>
      </c>
      <c r="O36" s="101">
        <v>2016</v>
      </c>
      <c r="P36" s="535" t="s">
        <v>454</v>
      </c>
    </row>
    <row r="37" spans="1:16" x14ac:dyDescent="0.25">
      <c r="A37" s="427"/>
      <c r="B37" s="439"/>
      <c r="C37" s="439"/>
      <c r="D37" s="117" t="s">
        <v>1329</v>
      </c>
      <c r="E37" s="427"/>
      <c r="F37" s="87">
        <v>12.9</v>
      </c>
      <c r="G37" s="89">
        <v>12.9</v>
      </c>
      <c r="H37" s="433"/>
      <c r="I37" s="101" t="s">
        <v>1110</v>
      </c>
      <c r="J37" s="101">
        <v>342144</v>
      </c>
      <c r="K37" s="89">
        <v>2.9766499999999998</v>
      </c>
      <c r="L37" s="101">
        <v>4.3</v>
      </c>
      <c r="M37" s="427"/>
      <c r="N37" s="427"/>
      <c r="O37" s="101">
        <v>2016</v>
      </c>
      <c r="P37" s="535"/>
    </row>
    <row r="38" spans="1:16" ht="19.5" x14ac:dyDescent="0.25">
      <c r="A38" s="101"/>
      <c r="B38" s="507" t="s">
        <v>22</v>
      </c>
      <c r="C38" s="507"/>
      <c r="D38" s="169"/>
      <c r="E38" s="47"/>
      <c r="F38" s="88">
        <f>SUM(F36:F37)</f>
        <v>21.817321</v>
      </c>
      <c r="G38" s="92">
        <f>SUM(G36:G37)</f>
        <v>21.817321</v>
      </c>
      <c r="H38" s="47"/>
      <c r="I38" s="47"/>
      <c r="J38" s="47"/>
      <c r="K38" s="92">
        <f>SUM(K36:K37)</f>
        <v>12.12209</v>
      </c>
      <c r="L38" s="47"/>
      <c r="M38" s="101"/>
      <c r="N38" s="101"/>
      <c r="O38" s="47"/>
      <c r="P38" s="168"/>
    </row>
    <row r="39" spans="1:16" ht="93.75" x14ac:dyDescent="0.25">
      <c r="A39" s="101">
        <v>11</v>
      </c>
      <c r="B39" s="117" t="s">
        <v>1336</v>
      </c>
      <c r="C39" s="117" t="s">
        <v>1337</v>
      </c>
      <c r="D39" s="117" t="s">
        <v>70</v>
      </c>
      <c r="E39" s="101" t="s">
        <v>18</v>
      </c>
      <c r="F39" s="87">
        <v>2.5686</v>
      </c>
      <c r="G39" s="89">
        <v>2.5686</v>
      </c>
      <c r="H39" s="101" t="s">
        <v>72</v>
      </c>
      <c r="I39" s="101" t="s">
        <v>1110</v>
      </c>
      <c r="J39" s="101">
        <v>31558</v>
      </c>
      <c r="K39" s="89">
        <v>0.64599300000000004</v>
      </c>
      <c r="L39" s="101">
        <v>4</v>
      </c>
      <c r="M39" s="101" t="s">
        <v>517</v>
      </c>
      <c r="N39" s="101" t="s">
        <v>21</v>
      </c>
      <c r="O39" s="101">
        <v>2016</v>
      </c>
      <c r="P39" s="168" t="s">
        <v>517</v>
      </c>
    </row>
    <row r="40" spans="1:16" ht="19.5" x14ac:dyDescent="0.25">
      <c r="A40" s="101"/>
      <c r="B40" s="507" t="s">
        <v>22</v>
      </c>
      <c r="C40" s="507"/>
      <c r="D40" s="169"/>
      <c r="E40" s="47"/>
      <c r="F40" s="88">
        <f>SUM(F39)</f>
        <v>2.5686</v>
      </c>
      <c r="G40" s="92">
        <f>SUM(G39)</f>
        <v>2.5686</v>
      </c>
      <c r="H40" s="47"/>
      <c r="I40" s="47"/>
      <c r="J40" s="47"/>
      <c r="K40" s="92">
        <f>SUM(K39)</f>
        <v>0.64599300000000004</v>
      </c>
      <c r="L40" s="47"/>
      <c r="M40" s="101"/>
      <c r="N40" s="101"/>
      <c r="O40" s="47"/>
      <c r="P40" s="168"/>
    </row>
    <row r="41" spans="1:16" ht="69.599999999999994" customHeight="1" x14ac:dyDescent="0.25">
      <c r="A41" s="101">
        <v>12</v>
      </c>
      <c r="B41" s="117" t="s">
        <v>71</v>
      </c>
      <c r="C41" s="117" t="s">
        <v>1330</v>
      </c>
      <c r="D41" s="117" t="s">
        <v>70</v>
      </c>
      <c r="E41" s="101" t="s">
        <v>18</v>
      </c>
      <c r="F41" s="87">
        <v>10.624599999999999</v>
      </c>
      <c r="G41" s="89">
        <v>10.624599999999999</v>
      </c>
      <c r="H41" s="101" t="s">
        <v>72</v>
      </c>
      <c r="I41" s="101" t="s">
        <v>16</v>
      </c>
      <c r="J41" s="101">
        <v>88827</v>
      </c>
      <c r="K41" s="89">
        <v>2.359245</v>
      </c>
      <c r="L41" s="101">
        <v>4.5</v>
      </c>
      <c r="M41" s="101" t="s">
        <v>466</v>
      </c>
      <c r="N41" s="101" t="s">
        <v>21</v>
      </c>
      <c r="O41" s="101">
        <v>2016</v>
      </c>
      <c r="P41" s="168" t="s">
        <v>466</v>
      </c>
    </row>
    <row r="42" spans="1:16" ht="19.5" x14ac:dyDescent="0.25">
      <c r="A42" s="101"/>
      <c r="B42" s="507" t="s">
        <v>22</v>
      </c>
      <c r="C42" s="507"/>
      <c r="D42" s="169"/>
      <c r="E42" s="47"/>
      <c r="F42" s="88">
        <f>SUM(F41)</f>
        <v>10.624599999999999</v>
      </c>
      <c r="G42" s="92">
        <f>SUM(G41)</f>
        <v>10.624599999999999</v>
      </c>
      <c r="H42" s="47"/>
      <c r="I42" s="47"/>
      <c r="J42" s="47"/>
      <c r="K42" s="92">
        <f>SUM(K41)</f>
        <v>2.359245</v>
      </c>
      <c r="L42" s="47"/>
      <c r="M42" s="101"/>
      <c r="N42" s="101"/>
      <c r="O42" s="47"/>
      <c r="P42" s="168"/>
    </row>
    <row r="43" spans="1:16" ht="72.599999999999994" customHeight="1" x14ac:dyDescent="0.25">
      <c r="A43" s="101">
        <v>13</v>
      </c>
      <c r="B43" s="117" t="s">
        <v>1625</v>
      </c>
      <c r="C43" s="117" t="s">
        <v>1331</v>
      </c>
      <c r="D43" s="117" t="s">
        <v>70</v>
      </c>
      <c r="E43" s="101" t="s">
        <v>18</v>
      </c>
      <c r="F43" s="87">
        <v>5.2</v>
      </c>
      <c r="G43" s="89">
        <v>5.2</v>
      </c>
      <c r="H43" s="101" t="s">
        <v>72</v>
      </c>
      <c r="I43" s="101" t="s">
        <v>1110</v>
      </c>
      <c r="J43" s="101">
        <v>33035</v>
      </c>
      <c r="K43" s="89">
        <v>0.87741000000000002</v>
      </c>
      <c r="L43" s="101">
        <v>5.9</v>
      </c>
      <c r="M43" s="101" t="s">
        <v>466</v>
      </c>
      <c r="N43" s="101" t="s">
        <v>21</v>
      </c>
      <c r="O43" s="101">
        <v>2016</v>
      </c>
      <c r="P43" s="168" t="s">
        <v>466</v>
      </c>
    </row>
    <row r="44" spans="1:16" ht="19.5" x14ac:dyDescent="0.25">
      <c r="A44" s="101"/>
      <c r="B44" s="507" t="s">
        <v>22</v>
      </c>
      <c r="C44" s="507"/>
      <c r="D44" s="169"/>
      <c r="E44" s="47"/>
      <c r="F44" s="88">
        <f>SUM(F43)</f>
        <v>5.2</v>
      </c>
      <c r="G44" s="92">
        <f>SUM(G43)</f>
        <v>5.2</v>
      </c>
      <c r="H44" s="47"/>
      <c r="I44" s="47"/>
      <c r="J44" s="47"/>
      <c r="K44" s="92">
        <f>SUM(K43)</f>
        <v>0.87741000000000002</v>
      </c>
      <c r="L44" s="47"/>
      <c r="M44" s="101"/>
      <c r="N44" s="101"/>
      <c r="O44" s="47"/>
      <c r="P44" s="168"/>
    </row>
    <row r="45" spans="1:16" ht="93.75" x14ac:dyDescent="0.25">
      <c r="A45" s="101">
        <v>14</v>
      </c>
      <c r="B45" s="117" t="s">
        <v>1626</v>
      </c>
      <c r="C45" s="117" t="s">
        <v>1332</v>
      </c>
      <c r="D45" s="117" t="s">
        <v>70</v>
      </c>
      <c r="E45" s="101" t="s">
        <v>18</v>
      </c>
      <c r="F45" s="87">
        <v>4.9485999999999999</v>
      </c>
      <c r="G45" s="89">
        <v>4.9485999999999999</v>
      </c>
      <c r="H45" s="101" t="s">
        <v>72</v>
      </c>
      <c r="I45" s="101" t="s">
        <v>1110</v>
      </c>
      <c r="J45" s="101">
        <v>48023</v>
      </c>
      <c r="K45" s="89">
        <v>0.76195500000000005</v>
      </c>
      <c r="L45" s="101">
        <v>6.5</v>
      </c>
      <c r="M45" s="101" t="s">
        <v>517</v>
      </c>
      <c r="N45" s="101" t="s">
        <v>21</v>
      </c>
      <c r="O45" s="101">
        <v>2016</v>
      </c>
      <c r="P45" s="168" t="s">
        <v>517</v>
      </c>
    </row>
    <row r="46" spans="1:16" ht="19.5" x14ac:dyDescent="0.25">
      <c r="A46" s="101"/>
      <c r="B46" s="507" t="s">
        <v>22</v>
      </c>
      <c r="C46" s="507"/>
      <c r="D46" s="169"/>
      <c r="E46" s="47"/>
      <c r="F46" s="88">
        <f>SUM(F45)</f>
        <v>4.9485999999999999</v>
      </c>
      <c r="G46" s="92">
        <f>SUM(G45)</f>
        <v>4.9485999999999999</v>
      </c>
      <c r="H46" s="47"/>
      <c r="I46" s="47"/>
      <c r="J46" s="47"/>
      <c r="K46" s="92">
        <f>SUM(K45)</f>
        <v>0.76195500000000005</v>
      </c>
      <c r="L46" s="47"/>
      <c r="M46" s="101"/>
      <c r="N46" s="101"/>
      <c r="O46" s="47"/>
      <c r="P46" s="168"/>
    </row>
    <row r="47" spans="1:16" ht="68.650000000000006" customHeight="1" x14ac:dyDescent="0.25">
      <c r="A47" s="101">
        <v>15</v>
      </c>
      <c r="B47" s="117" t="s">
        <v>78</v>
      </c>
      <c r="C47" s="117" t="s">
        <v>1317</v>
      </c>
      <c r="D47" s="117" t="s">
        <v>70</v>
      </c>
      <c r="E47" s="101" t="s">
        <v>18</v>
      </c>
      <c r="F47" s="87">
        <v>6.5381999999999998</v>
      </c>
      <c r="G47" s="89">
        <v>6.5381999999999998</v>
      </c>
      <c r="H47" s="101" t="s">
        <v>72</v>
      </c>
      <c r="I47" s="101" t="s">
        <v>1110</v>
      </c>
      <c r="J47" s="101">
        <v>53347</v>
      </c>
      <c r="K47" s="89">
        <v>1.120287</v>
      </c>
      <c r="L47" s="101">
        <v>5.8</v>
      </c>
      <c r="M47" s="101" t="s">
        <v>43</v>
      </c>
      <c r="N47" s="101" t="s">
        <v>21</v>
      </c>
      <c r="O47" s="101">
        <v>2016</v>
      </c>
      <c r="P47" s="168" t="s">
        <v>43</v>
      </c>
    </row>
    <row r="48" spans="1:16" ht="19.5" x14ac:dyDescent="0.25">
      <c r="A48" s="101"/>
      <c r="B48" s="507" t="s">
        <v>22</v>
      </c>
      <c r="C48" s="507"/>
      <c r="D48" s="169"/>
      <c r="E48" s="47"/>
      <c r="F48" s="88">
        <f>SUM(F47)</f>
        <v>6.5381999999999998</v>
      </c>
      <c r="G48" s="92">
        <f>SUM(G47)</f>
        <v>6.5381999999999998</v>
      </c>
      <c r="H48" s="47"/>
      <c r="I48" s="47"/>
      <c r="J48" s="47"/>
      <c r="K48" s="92">
        <f>SUM(K47)</f>
        <v>1.120287</v>
      </c>
      <c r="L48" s="47"/>
      <c r="M48" s="101"/>
      <c r="N48" s="101"/>
      <c r="O48" s="47"/>
      <c r="P48" s="168"/>
    </row>
    <row r="49" spans="1:16" s="227" customFormat="1" ht="18.75" customHeight="1" x14ac:dyDescent="0.25">
      <c r="A49" s="159"/>
      <c r="B49" s="220" t="s">
        <v>79</v>
      </c>
      <c r="C49" s="220"/>
      <c r="D49" s="225"/>
      <c r="E49" s="159"/>
      <c r="F49" s="368">
        <f>F7+F15+F19+F23+F25+F27+F31+F33+F35+F38+F40+F42+F44+F46+F48</f>
        <v>400.49402789999994</v>
      </c>
      <c r="G49" s="306">
        <f>G7+G15+G19+G23+G25+G27+G31+G33+G35+G38+G40+G42+G44+G46+G48</f>
        <v>400.49402789999994</v>
      </c>
      <c r="H49" s="159"/>
      <c r="I49" s="159"/>
      <c r="J49" s="159"/>
      <c r="K49" s="306">
        <f>K7+K15+K19+K23+K25+K27+K31+K33+K35+K38+K40+K42+K44+K46+K48</f>
        <v>136.93219698999997</v>
      </c>
      <c r="L49" s="159"/>
      <c r="M49" s="369"/>
      <c r="N49" s="369"/>
      <c r="O49" s="159"/>
      <c r="P49" s="226"/>
    </row>
    <row r="50" spans="1:16" ht="56.25" x14ac:dyDescent="0.25">
      <c r="A50" s="101">
        <v>16</v>
      </c>
      <c r="B50" s="117" t="s">
        <v>1338</v>
      </c>
      <c r="C50" s="117" t="s">
        <v>1339</v>
      </c>
      <c r="D50" s="117" t="s">
        <v>81</v>
      </c>
      <c r="E50" s="101" t="s">
        <v>83</v>
      </c>
      <c r="F50" s="87">
        <v>5</v>
      </c>
      <c r="G50" s="89">
        <v>5</v>
      </c>
      <c r="H50" s="101" t="s">
        <v>428</v>
      </c>
      <c r="I50" s="101" t="s">
        <v>1110</v>
      </c>
      <c r="J50" s="101">
        <v>210826.6</v>
      </c>
      <c r="K50" s="89">
        <v>3.87921</v>
      </c>
      <c r="L50" s="101">
        <v>1.3</v>
      </c>
      <c r="M50" s="101" t="s">
        <v>27</v>
      </c>
      <c r="N50" s="101" t="s">
        <v>21</v>
      </c>
      <c r="O50" s="101">
        <v>2017</v>
      </c>
      <c r="P50" s="168" t="s">
        <v>27</v>
      </c>
    </row>
    <row r="51" spans="1:16" ht="19.5" x14ac:dyDescent="0.25">
      <c r="A51" s="101"/>
      <c r="B51" s="507" t="s">
        <v>22</v>
      </c>
      <c r="C51" s="507"/>
      <c r="D51" s="169"/>
      <c r="E51" s="47"/>
      <c r="F51" s="88">
        <f>SUM(F50)</f>
        <v>5</v>
      </c>
      <c r="G51" s="92">
        <f>SUM(G50)</f>
        <v>5</v>
      </c>
      <c r="H51" s="47"/>
      <c r="I51" s="47"/>
      <c r="J51" s="48"/>
      <c r="K51" s="92">
        <f>SUM(K50)</f>
        <v>3.87921</v>
      </c>
      <c r="L51" s="47"/>
      <c r="M51" s="101"/>
      <c r="N51" s="101"/>
      <c r="O51" s="47"/>
      <c r="P51" s="168"/>
    </row>
    <row r="52" spans="1:16" ht="120.6" customHeight="1" x14ac:dyDescent="0.25">
      <c r="A52" s="101">
        <v>17</v>
      </c>
      <c r="B52" s="117" t="s">
        <v>88</v>
      </c>
      <c r="C52" s="117" t="s">
        <v>1623</v>
      </c>
      <c r="D52" s="117" t="s">
        <v>1624</v>
      </c>
      <c r="E52" s="101" t="s">
        <v>1433</v>
      </c>
      <c r="F52" s="87">
        <v>2336</v>
      </c>
      <c r="G52" s="89">
        <v>2336</v>
      </c>
      <c r="H52" s="101" t="s">
        <v>427</v>
      </c>
      <c r="I52" s="101" t="s">
        <v>1340</v>
      </c>
      <c r="J52" s="90">
        <v>1869120</v>
      </c>
      <c r="K52" s="89">
        <v>33.569000000000003</v>
      </c>
      <c r="L52" s="101">
        <v>7</v>
      </c>
      <c r="M52" s="101" t="s">
        <v>1064</v>
      </c>
      <c r="N52" s="101" t="s">
        <v>21</v>
      </c>
      <c r="O52" s="101">
        <v>2017</v>
      </c>
      <c r="P52" s="168" t="s">
        <v>1064</v>
      </c>
    </row>
    <row r="53" spans="1:16" ht="19.5" x14ac:dyDescent="0.25">
      <c r="A53" s="101"/>
      <c r="B53" s="507" t="s">
        <v>22</v>
      </c>
      <c r="C53" s="507"/>
      <c r="D53" s="169"/>
      <c r="E53" s="47"/>
      <c r="F53" s="88">
        <f>SUM(F52)</f>
        <v>2336</v>
      </c>
      <c r="G53" s="92">
        <f>SUM(G52)</f>
        <v>2336</v>
      </c>
      <c r="H53" s="47"/>
      <c r="I53" s="47"/>
      <c r="J53" s="47"/>
      <c r="K53" s="92">
        <f>SUM(K52)</f>
        <v>33.569000000000003</v>
      </c>
      <c r="L53" s="47"/>
      <c r="M53" s="101"/>
      <c r="N53" s="101"/>
      <c r="O53" s="47"/>
      <c r="P53" s="168"/>
    </row>
    <row r="54" spans="1:16" ht="60" customHeight="1" x14ac:dyDescent="0.25">
      <c r="A54" s="101">
        <v>18</v>
      </c>
      <c r="B54" s="117" t="s">
        <v>93</v>
      </c>
      <c r="C54" s="117" t="s">
        <v>1654</v>
      </c>
      <c r="D54" s="117" t="s">
        <v>92</v>
      </c>
      <c r="E54" s="101" t="s">
        <v>94</v>
      </c>
      <c r="F54" s="87">
        <v>747.13499999999999</v>
      </c>
      <c r="G54" s="89">
        <v>747.13499999999999</v>
      </c>
      <c r="H54" s="101" t="s">
        <v>428</v>
      </c>
      <c r="I54" s="101" t="s">
        <v>1341</v>
      </c>
      <c r="J54" s="90">
        <v>43074434</v>
      </c>
      <c r="K54" s="89">
        <v>349.00099999999998</v>
      </c>
      <c r="L54" s="101">
        <v>2.2999999999999998</v>
      </c>
      <c r="M54" s="101" t="s">
        <v>1149</v>
      </c>
      <c r="N54" s="101" t="s">
        <v>21</v>
      </c>
      <c r="O54" s="101">
        <v>2017</v>
      </c>
      <c r="P54" s="168" t="s">
        <v>1149</v>
      </c>
    </row>
    <row r="55" spans="1:16" ht="19.5" x14ac:dyDescent="0.25">
      <c r="A55" s="101"/>
      <c r="B55" s="507" t="s">
        <v>22</v>
      </c>
      <c r="C55" s="507"/>
      <c r="D55" s="169"/>
      <c r="E55" s="47"/>
      <c r="F55" s="88">
        <f>SUM(F54)</f>
        <v>747.13499999999999</v>
      </c>
      <c r="G55" s="92">
        <f>SUM(G54)</f>
        <v>747.13499999999999</v>
      </c>
      <c r="H55" s="47"/>
      <c r="I55" s="47"/>
      <c r="J55" s="47"/>
      <c r="K55" s="92">
        <f>SUM(K54)</f>
        <v>349.00099999999998</v>
      </c>
      <c r="L55" s="47"/>
      <c r="M55" s="101"/>
      <c r="N55" s="101"/>
      <c r="O55" s="47"/>
      <c r="P55" s="168"/>
    </row>
    <row r="56" spans="1:16" ht="62.65" customHeight="1" x14ac:dyDescent="0.25">
      <c r="A56" s="101">
        <v>19</v>
      </c>
      <c r="B56" s="117" t="s">
        <v>1342</v>
      </c>
      <c r="C56" s="117" t="s">
        <v>1343</v>
      </c>
      <c r="D56" s="117" t="s">
        <v>1344</v>
      </c>
      <c r="E56" s="101" t="s">
        <v>94</v>
      </c>
      <c r="F56" s="87">
        <v>732.9</v>
      </c>
      <c r="G56" s="89">
        <v>732.9</v>
      </c>
      <c r="H56" s="101" t="s">
        <v>427</v>
      </c>
      <c r="I56" s="101" t="s">
        <v>1110</v>
      </c>
      <c r="J56" s="90">
        <v>2187132</v>
      </c>
      <c r="K56" s="89">
        <v>46.9</v>
      </c>
      <c r="L56" s="101">
        <v>15.6</v>
      </c>
      <c r="M56" s="101" t="s">
        <v>446</v>
      </c>
      <c r="N56" s="101" t="s">
        <v>21</v>
      </c>
      <c r="O56" s="101">
        <v>2017</v>
      </c>
      <c r="P56" s="168" t="s">
        <v>446</v>
      </c>
    </row>
    <row r="57" spans="1:16" ht="19.5" x14ac:dyDescent="0.25">
      <c r="A57" s="101"/>
      <c r="B57" s="507" t="s">
        <v>22</v>
      </c>
      <c r="C57" s="507"/>
      <c r="D57" s="169"/>
      <c r="E57" s="47"/>
      <c r="F57" s="88">
        <f>SUM(F56)</f>
        <v>732.9</v>
      </c>
      <c r="G57" s="92">
        <f>SUM(G56)</f>
        <v>732.9</v>
      </c>
      <c r="H57" s="47"/>
      <c r="I57" s="47"/>
      <c r="J57" s="47"/>
      <c r="K57" s="92">
        <f>SUM(K56)</f>
        <v>46.9</v>
      </c>
      <c r="L57" s="47"/>
      <c r="M57" s="101"/>
      <c r="N57" s="101"/>
      <c r="O57" s="47"/>
      <c r="P57" s="168"/>
    </row>
    <row r="58" spans="1:16" ht="54" customHeight="1" x14ac:dyDescent="0.25">
      <c r="A58" s="101">
        <v>20</v>
      </c>
      <c r="B58" s="117" t="s">
        <v>100</v>
      </c>
      <c r="C58" s="117" t="s">
        <v>1622</v>
      </c>
      <c r="D58" s="117" t="s">
        <v>1442</v>
      </c>
      <c r="E58" s="101" t="s">
        <v>101</v>
      </c>
      <c r="F58" s="87">
        <v>1088</v>
      </c>
      <c r="G58" s="89">
        <v>1088</v>
      </c>
      <c r="H58" s="101" t="s">
        <v>427</v>
      </c>
      <c r="I58" s="101" t="s">
        <v>1110</v>
      </c>
      <c r="J58" s="90">
        <v>8576089</v>
      </c>
      <c r="K58" s="89">
        <v>142.345</v>
      </c>
      <c r="L58" s="101">
        <v>7.6</v>
      </c>
      <c r="M58" s="101" t="s">
        <v>446</v>
      </c>
      <c r="N58" s="101" t="s">
        <v>21</v>
      </c>
      <c r="O58" s="101">
        <v>2017</v>
      </c>
      <c r="P58" s="168" t="s">
        <v>446</v>
      </c>
    </row>
    <row r="59" spans="1:16" ht="19.5" x14ac:dyDescent="0.25">
      <c r="A59" s="101"/>
      <c r="B59" s="507" t="s">
        <v>22</v>
      </c>
      <c r="C59" s="507"/>
      <c r="D59" s="169"/>
      <c r="E59" s="47"/>
      <c r="F59" s="88">
        <f>SUM(F58)</f>
        <v>1088</v>
      </c>
      <c r="G59" s="92">
        <f>SUM(G58)</f>
        <v>1088</v>
      </c>
      <c r="H59" s="47"/>
      <c r="I59" s="47"/>
      <c r="J59" s="47"/>
      <c r="K59" s="92">
        <f>SUM(K58)</f>
        <v>142.345</v>
      </c>
      <c r="L59" s="47"/>
      <c r="M59" s="101"/>
      <c r="N59" s="101"/>
      <c r="O59" s="47"/>
      <c r="P59" s="168"/>
    </row>
    <row r="60" spans="1:16" ht="37.5" x14ac:dyDescent="0.25">
      <c r="A60" s="101">
        <v>21</v>
      </c>
      <c r="B60" s="117" t="s">
        <v>103</v>
      </c>
      <c r="C60" s="117" t="s">
        <v>1161</v>
      </c>
      <c r="D60" s="117" t="s">
        <v>1345</v>
      </c>
      <c r="E60" s="101" t="s">
        <v>103</v>
      </c>
      <c r="F60" s="87">
        <v>14.5</v>
      </c>
      <c r="G60" s="89">
        <v>14.5</v>
      </c>
      <c r="H60" s="101" t="s">
        <v>1112</v>
      </c>
      <c r="I60" s="101" t="s">
        <v>1110</v>
      </c>
      <c r="J60" s="90">
        <v>962022</v>
      </c>
      <c r="K60" s="89">
        <v>14.670999999999999</v>
      </c>
      <c r="L60" s="101">
        <v>1</v>
      </c>
      <c r="M60" s="101" t="s">
        <v>27</v>
      </c>
      <c r="N60" s="101" t="s">
        <v>21</v>
      </c>
      <c r="O60" s="101">
        <v>2017</v>
      </c>
      <c r="P60" s="168" t="s">
        <v>27</v>
      </c>
    </row>
    <row r="61" spans="1:16" ht="19.5" x14ac:dyDescent="0.25">
      <c r="A61" s="101"/>
      <c r="B61" s="507" t="s">
        <v>22</v>
      </c>
      <c r="C61" s="507"/>
      <c r="D61" s="169"/>
      <c r="E61" s="47"/>
      <c r="F61" s="88">
        <f>SUM(F60)</f>
        <v>14.5</v>
      </c>
      <c r="G61" s="92">
        <f>SUM(G60)</f>
        <v>14.5</v>
      </c>
      <c r="H61" s="47"/>
      <c r="I61" s="47"/>
      <c r="J61" s="47"/>
      <c r="K61" s="92">
        <f>SUM(K60)</f>
        <v>14.670999999999999</v>
      </c>
      <c r="L61" s="47"/>
      <c r="M61" s="101"/>
      <c r="N61" s="101"/>
      <c r="O61" s="47"/>
      <c r="P61" s="168"/>
    </row>
    <row r="62" spans="1:16" ht="37.5" x14ac:dyDescent="0.25">
      <c r="A62" s="101">
        <v>22</v>
      </c>
      <c r="B62" s="117" t="s">
        <v>107</v>
      </c>
      <c r="C62" s="117" t="s">
        <v>1621</v>
      </c>
      <c r="D62" s="117" t="s">
        <v>1346</v>
      </c>
      <c r="E62" s="101" t="s">
        <v>107</v>
      </c>
      <c r="F62" s="87">
        <v>2.2080000000000002</v>
      </c>
      <c r="G62" s="89">
        <v>2.2080000000000002</v>
      </c>
      <c r="H62" s="101" t="s">
        <v>1112</v>
      </c>
      <c r="I62" s="101" t="s">
        <v>16</v>
      </c>
      <c r="J62" s="90">
        <v>91214</v>
      </c>
      <c r="K62" s="89">
        <v>1.7359089999999999</v>
      </c>
      <c r="L62" s="101">
        <v>1.3</v>
      </c>
      <c r="M62" s="101" t="s">
        <v>27</v>
      </c>
      <c r="N62" s="101" t="s">
        <v>21</v>
      </c>
      <c r="O62" s="101">
        <v>2017</v>
      </c>
      <c r="P62" s="168" t="s">
        <v>27</v>
      </c>
    </row>
    <row r="63" spans="1:16" ht="19.5" x14ac:dyDescent="0.25">
      <c r="A63" s="101"/>
      <c r="B63" s="507" t="s">
        <v>22</v>
      </c>
      <c r="C63" s="507"/>
      <c r="D63" s="169"/>
      <c r="E63" s="47"/>
      <c r="F63" s="88">
        <f>SUM(F62)</f>
        <v>2.2080000000000002</v>
      </c>
      <c r="G63" s="92">
        <f>SUM(G62)</f>
        <v>2.2080000000000002</v>
      </c>
      <c r="H63" s="47"/>
      <c r="I63" s="47"/>
      <c r="J63" s="47"/>
      <c r="K63" s="92">
        <f>SUM(K62)</f>
        <v>1.7359089999999999</v>
      </c>
      <c r="L63" s="47"/>
      <c r="M63" s="101"/>
      <c r="N63" s="101"/>
      <c r="O63" s="47"/>
      <c r="P63" s="168"/>
    </row>
    <row r="64" spans="1:16" ht="42.6" customHeight="1" x14ac:dyDescent="0.25">
      <c r="A64" s="101">
        <v>23</v>
      </c>
      <c r="B64" s="117" t="s">
        <v>108</v>
      </c>
      <c r="C64" s="117" t="s">
        <v>1311</v>
      </c>
      <c r="D64" s="117" t="s">
        <v>1620</v>
      </c>
      <c r="E64" s="101" t="s">
        <v>108</v>
      </c>
      <c r="F64" s="87">
        <v>5.3470000000000004</v>
      </c>
      <c r="G64" s="89">
        <v>5.3470000000000004</v>
      </c>
      <c r="H64" s="101" t="s">
        <v>1112</v>
      </c>
      <c r="I64" s="101" t="s">
        <v>16</v>
      </c>
      <c r="J64" s="90">
        <v>190807</v>
      </c>
      <c r="K64" s="89">
        <v>3.434526</v>
      </c>
      <c r="L64" s="101">
        <v>1.6</v>
      </c>
      <c r="M64" s="101" t="s">
        <v>20</v>
      </c>
      <c r="N64" s="101" t="s">
        <v>21</v>
      </c>
      <c r="O64" s="101">
        <v>2017</v>
      </c>
      <c r="P64" s="168" t="s">
        <v>20</v>
      </c>
    </row>
    <row r="65" spans="1:16" ht="19.5" x14ac:dyDescent="0.25">
      <c r="A65" s="101"/>
      <c r="B65" s="507" t="s">
        <v>22</v>
      </c>
      <c r="C65" s="507"/>
      <c r="D65" s="169"/>
      <c r="E65" s="47"/>
      <c r="F65" s="88">
        <f>SUM(F64)</f>
        <v>5.3470000000000004</v>
      </c>
      <c r="G65" s="92">
        <f>SUM(G64)</f>
        <v>5.3470000000000004</v>
      </c>
      <c r="H65" s="47"/>
      <c r="I65" s="47"/>
      <c r="J65" s="47"/>
      <c r="K65" s="92">
        <f>SUM(K64)</f>
        <v>3.434526</v>
      </c>
      <c r="L65" s="47"/>
      <c r="M65" s="101"/>
      <c r="N65" s="101"/>
      <c r="O65" s="47"/>
      <c r="P65" s="168"/>
    </row>
    <row r="66" spans="1:16" x14ac:dyDescent="0.25">
      <c r="A66" s="427">
        <v>24</v>
      </c>
      <c r="B66" s="439" t="s">
        <v>1347</v>
      </c>
      <c r="C66" s="439" t="s">
        <v>109</v>
      </c>
      <c r="D66" s="117" t="s">
        <v>110</v>
      </c>
      <c r="E66" s="427" t="s">
        <v>111</v>
      </c>
      <c r="F66" s="87">
        <v>10.510999999999999</v>
      </c>
      <c r="G66" s="89">
        <v>10.510999999999999</v>
      </c>
      <c r="H66" s="427" t="s">
        <v>1112</v>
      </c>
      <c r="I66" s="101" t="s">
        <v>16</v>
      </c>
      <c r="J66" s="101">
        <v>171733</v>
      </c>
      <c r="K66" s="89">
        <v>3.28</v>
      </c>
      <c r="L66" s="101">
        <v>3.2</v>
      </c>
      <c r="M66" s="427" t="s">
        <v>438</v>
      </c>
      <c r="N66" s="427" t="s">
        <v>21</v>
      </c>
      <c r="O66" s="427">
        <v>2017</v>
      </c>
      <c r="P66" s="535" t="s">
        <v>438</v>
      </c>
    </row>
    <row r="67" spans="1:16" x14ac:dyDescent="0.25">
      <c r="A67" s="427"/>
      <c r="B67" s="439"/>
      <c r="C67" s="439"/>
      <c r="D67" s="117" t="s">
        <v>112</v>
      </c>
      <c r="E67" s="427"/>
      <c r="F67" s="87">
        <v>1.8680000000000001</v>
      </c>
      <c r="G67" s="89">
        <v>1.8680000000000001</v>
      </c>
      <c r="H67" s="427"/>
      <c r="I67" s="101" t="s">
        <v>16</v>
      </c>
      <c r="J67" s="101">
        <v>17930</v>
      </c>
      <c r="K67" s="89">
        <v>0.33900000000000002</v>
      </c>
      <c r="L67" s="101">
        <v>5.5</v>
      </c>
      <c r="M67" s="427"/>
      <c r="N67" s="427"/>
      <c r="O67" s="427"/>
      <c r="P67" s="535"/>
    </row>
    <row r="68" spans="1:16" ht="37.5" x14ac:dyDescent="0.25">
      <c r="A68" s="427"/>
      <c r="B68" s="439"/>
      <c r="C68" s="439"/>
      <c r="D68" s="117" t="s">
        <v>113</v>
      </c>
      <c r="E68" s="427"/>
      <c r="F68" s="87">
        <v>3.96</v>
      </c>
      <c r="G68" s="89">
        <v>3.96</v>
      </c>
      <c r="H68" s="427"/>
      <c r="I68" s="101" t="s">
        <v>16</v>
      </c>
      <c r="J68" s="101">
        <v>61290</v>
      </c>
      <c r="K68" s="89">
        <v>1.1599999999999999</v>
      </c>
      <c r="L68" s="101">
        <v>3.4</v>
      </c>
      <c r="M68" s="427"/>
      <c r="N68" s="427"/>
      <c r="O68" s="427"/>
      <c r="P68" s="535"/>
    </row>
    <row r="69" spans="1:16" x14ac:dyDescent="0.25">
      <c r="A69" s="427"/>
      <c r="B69" s="439"/>
      <c r="C69" s="439"/>
      <c r="D69" s="117" t="s">
        <v>114</v>
      </c>
      <c r="E69" s="427"/>
      <c r="F69" s="87">
        <v>0.307</v>
      </c>
      <c r="G69" s="89">
        <v>0.307</v>
      </c>
      <c r="H69" s="427"/>
      <c r="I69" s="101" t="s">
        <v>16</v>
      </c>
      <c r="J69" s="101">
        <v>67313</v>
      </c>
      <c r="K69" s="89">
        <v>1.5349999999999999</v>
      </c>
      <c r="L69" s="101">
        <v>0.2</v>
      </c>
      <c r="M69" s="427"/>
      <c r="N69" s="427"/>
      <c r="O69" s="427"/>
      <c r="P69" s="535"/>
    </row>
    <row r="70" spans="1:16" ht="19.5" x14ac:dyDescent="0.25">
      <c r="A70" s="101"/>
      <c r="B70" s="507" t="s">
        <v>22</v>
      </c>
      <c r="C70" s="507"/>
      <c r="D70" s="169"/>
      <c r="E70" s="47"/>
      <c r="F70" s="88">
        <f>SUM(F66:F69)</f>
        <v>16.645999999999997</v>
      </c>
      <c r="G70" s="92">
        <f>SUM(G66:G69)</f>
        <v>16.645999999999997</v>
      </c>
      <c r="H70" s="47"/>
      <c r="I70" s="47"/>
      <c r="J70" s="47"/>
      <c r="K70" s="92">
        <f>SUM(K66:K69)</f>
        <v>6.3140000000000001</v>
      </c>
      <c r="L70" s="47"/>
      <c r="M70" s="101"/>
      <c r="N70" s="101"/>
      <c r="O70" s="47"/>
      <c r="P70" s="168"/>
    </row>
    <row r="71" spans="1:16" x14ac:dyDescent="0.25">
      <c r="A71" s="427">
        <v>25</v>
      </c>
      <c r="B71" s="439" t="s">
        <v>1348</v>
      </c>
      <c r="C71" s="439" t="s">
        <v>115</v>
      </c>
      <c r="D71" s="117" t="s">
        <v>116</v>
      </c>
      <c r="E71" s="427" t="s">
        <v>1348</v>
      </c>
      <c r="F71" s="87">
        <v>13.2</v>
      </c>
      <c r="G71" s="89">
        <v>13.2</v>
      </c>
      <c r="H71" s="427" t="s">
        <v>1112</v>
      </c>
      <c r="I71" s="101" t="s">
        <v>37</v>
      </c>
      <c r="J71" s="122">
        <v>4447.6000000000004</v>
      </c>
      <c r="K71" s="89">
        <v>4.46</v>
      </c>
      <c r="L71" s="101">
        <v>3</v>
      </c>
      <c r="M71" s="427" t="s">
        <v>1064</v>
      </c>
      <c r="N71" s="427" t="s">
        <v>21</v>
      </c>
      <c r="O71" s="427">
        <v>2017</v>
      </c>
      <c r="P71" s="535" t="s">
        <v>1064</v>
      </c>
    </row>
    <row r="72" spans="1:16" ht="37.5" x14ac:dyDescent="0.25">
      <c r="A72" s="427"/>
      <c r="B72" s="439"/>
      <c r="C72" s="439"/>
      <c r="D72" s="117" t="s">
        <v>117</v>
      </c>
      <c r="E72" s="427"/>
      <c r="F72" s="87">
        <v>53.5</v>
      </c>
      <c r="G72" s="89">
        <v>53.5</v>
      </c>
      <c r="H72" s="427"/>
      <c r="I72" s="101" t="s">
        <v>16</v>
      </c>
      <c r="J72" s="90">
        <v>3073170</v>
      </c>
      <c r="K72" s="89">
        <v>15.1</v>
      </c>
      <c r="L72" s="101">
        <v>35</v>
      </c>
      <c r="M72" s="427"/>
      <c r="N72" s="427"/>
      <c r="O72" s="427"/>
      <c r="P72" s="535"/>
    </row>
    <row r="73" spans="1:16" x14ac:dyDescent="0.25">
      <c r="A73" s="427"/>
      <c r="B73" s="439"/>
      <c r="C73" s="439"/>
      <c r="D73" s="117" t="s">
        <v>118</v>
      </c>
      <c r="E73" s="427"/>
      <c r="F73" s="87">
        <v>1.2</v>
      </c>
      <c r="G73" s="89">
        <v>1.2</v>
      </c>
      <c r="H73" s="427"/>
      <c r="I73" s="101" t="s">
        <v>16</v>
      </c>
      <c r="J73" s="90">
        <v>298374</v>
      </c>
      <c r="K73" s="89">
        <v>2.14</v>
      </c>
      <c r="L73" s="101">
        <v>1</v>
      </c>
      <c r="M73" s="427"/>
      <c r="N73" s="427"/>
      <c r="O73" s="427"/>
      <c r="P73" s="535"/>
    </row>
    <row r="74" spans="1:16" ht="37.5" x14ac:dyDescent="0.25">
      <c r="A74" s="427"/>
      <c r="B74" s="439"/>
      <c r="C74" s="439"/>
      <c r="D74" s="117" t="s">
        <v>119</v>
      </c>
      <c r="E74" s="427"/>
      <c r="F74" s="87">
        <v>3.84</v>
      </c>
      <c r="G74" s="89">
        <v>3.84</v>
      </c>
      <c r="H74" s="427"/>
      <c r="I74" s="101" t="s">
        <v>16</v>
      </c>
      <c r="J74" s="90">
        <v>409756</v>
      </c>
      <c r="K74" s="89">
        <v>2.72</v>
      </c>
      <c r="L74" s="101">
        <v>1.4</v>
      </c>
      <c r="M74" s="427"/>
      <c r="N74" s="427"/>
      <c r="O74" s="427"/>
      <c r="P74" s="535"/>
    </row>
    <row r="75" spans="1:16" ht="19.5" x14ac:dyDescent="0.25">
      <c r="A75" s="101"/>
      <c r="B75" s="507" t="s">
        <v>22</v>
      </c>
      <c r="C75" s="507"/>
      <c r="D75" s="169"/>
      <c r="E75" s="47"/>
      <c r="F75" s="88">
        <f>SUM(F71:F74)</f>
        <v>71.740000000000009</v>
      </c>
      <c r="G75" s="92">
        <f>SUM(G71:G74)</f>
        <v>71.740000000000009</v>
      </c>
      <c r="H75" s="47"/>
      <c r="I75" s="47"/>
      <c r="J75" s="47"/>
      <c r="K75" s="92">
        <f>SUM(K71:K74)</f>
        <v>24.419999999999998</v>
      </c>
      <c r="L75" s="47"/>
      <c r="M75" s="101"/>
      <c r="N75" s="101"/>
      <c r="O75" s="47"/>
      <c r="P75" s="168"/>
    </row>
    <row r="76" spans="1:16" ht="37.5" x14ac:dyDescent="0.25">
      <c r="A76" s="427">
        <v>26</v>
      </c>
      <c r="B76" s="439" t="s">
        <v>122</v>
      </c>
      <c r="C76" s="439" t="s">
        <v>1319</v>
      </c>
      <c r="D76" s="117" t="s">
        <v>1349</v>
      </c>
      <c r="E76" s="427" t="s">
        <v>122</v>
      </c>
      <c r="F76" s="87">
        <v>10.46</v>
      </c>
      <c r="G76" s="89">
        <v>10.46</v>
      </c>
      <c r="H76" s="427" t="s">
        <v>1112</v>
      </c>
      <c r="I76" s="101" t="s">
        <v>16</v>
      </c>
      <c r="J76" s="90">
        <v>85191</v>
      </c>
      <c r="K76" s="89">
        <v>1.3387</v>
      </c>
      <c r="L76" s="101">
        <v>7.8</v>
      </c>
      <c r="M76" s="427" t="s">
        <v>466</v>
      </c>
      <c r="N76" s="427" t="s">
        <v>21</v>
      </c>
      <c r="O76" s="427">
        <v>2017</v>
      </c>
      <c r="P76" s="535" t="s">
        <v>466</v>
      </c>
    </row>
    <row r="77" spans="1:16" ht="37.5" x14ac:dyDescent="0.25">
      <c r="A77" s="427"/>
      <c r="B77" s="439"/>
      <c r="C77" s="439"/>
      <c r="D77" s="117" t="s">
        <v>123</v>
      </c>
      <c r="E77" s="427"/>
      <c r="F77" s="87">
        <v>3.6</v>
      </c>
      <c r="G77" s="89">
        <v>3.6</v>
      </c>
      <c r="H77" s="427"/>
      <c r="I77" s="101" t="s">
        <v>16</v>
      </c>
      <c r="J77" s="90">
        <v>19447</v>
      </c>
      <c r="K77" s="89">
        <v>0.30559999999999998</v>
      </c>
      <c r="L77" s="101">
        <v>11.8</v>
      </c>
      <c r="M77" s="427"/>
      <c r="N77" s="427"/>
      <c r="O77" s="427"/>
      <c r="P77" s="535"/>
    </row>
    <row r="78" spans="1:16" ht="19.5" x14ac:dyDescent="0.25">
      <c r="A78" s="101"/>
      <c r="B78" s="507" t="s">
        <v>22</v>
      </c>
      <c r="C78" s="507"/>
      <c r="D78" s="169"/>
      <c r="E78" s="47"/>
      <c r="F78" s="88">
        <f>SUM(F76:F77)</f>
        <v>14.06</v>
      </c>
      <c r="G78" s="92">
        <f>SUM(G76:G77)</f>
        <v>14.06</v>
      </c>
      <c r="H78" s="47"/>
      <c r="I78" s="47"/>
      <c r="J78" s="47"/>
      <c r="K78" s="92">
        <f>SUM(K76:K77)</f>
        <v>1.6442999999999999</v>
      </c>
      <c r="L78" s="47"/>
      <c r="M78" s="101"/>
      <c r="N78" s="101"/>
      <c r="O78" s="47"/>
      <c r="P78" s="168"/>
    </row>
    <row r="79" spans="1:16" ht="37.5" x14ac:dyDescent="0.25">
      <c r="A79" s="427">
        <v>27</v>
      </c>
      <c r="B79" s="439" t="s">
        <v>126</v>
      </c>
      <c r="C79" s="439" t="s">
        <v>1350</v>
      </c>
      <c r="D79" s="117" t="s">
        <v>1351</v>
      </c>
      <c r="E79" s="427" t="s">
        <v>126</v>
      </c>
      <c r="F79" s="87">
        <v>13.9</v>
      </c>
      <c r="G79" s="89">
        <v>13.9</v>
      </c>
      <c r="H79" s="427" t="s">
        <v>1112</v>
      </c>
      <c r="I79" s="101" t="s">
        <v>16</v>
      </c>
      <c r="J79" s="101">
        <v>283659</v>
      </c>
      <c r="K79" s="89">
        <v>4.2549000000000001</v>
      </c>
      <c r="L79" s="101">
        <v>3.3</v>
      </c>
      <c r="M79" s="427" t="s">
        <v>438</v>
      </c>
      <c r="N79" s="427" t="s">
        <v>21</v>
      </c>
      <c r="O79" s="427">
        <v>2017</v>
      </c>
      <c r="P79" s="535" t="s">
        <v>438</v>
      </c>
    </row>
    <row r="80" spans="1:16" x14ac:dyDescent="0.25">
      <c r="A80" s="427"/>
      <c r="B80" s="439"/>
      <c r="C80" s="439"/>
      <c r="D80" s="117" t="s">
        <v>1352</v>
      </c>
      <c r="E80" s="427"/>
      <c r="F80" s="87">
        <v>0.95</v>
      </c>
      <c r="G80" s="89">
        <v>0.95</v>
      </c>
      <c r="H80" s="427"/>
      <c r="I80" s="101" t="s">
        <v>16</v>
      </c>
      <c r="J80" s="101">
        <v>122366</v>
      </c>
      <c r="K80" s="89">
        <v>1.8354999999999999</v>
      </c>
      <c r="L80" s="101">
        <v>0.5</v>
      </c>
      <c r="M80" s="427"/>
      <c r="N80" s="427"/>
      <c r="O80" s="427"/>
      <c r="P80" s="535"/>
    </row>
    <row r="81" spans="1:16" ht="19.5" x14ac:dyDescent="0.25">
      <c r="A81" s="101"/>
      <c r="B81" s="507" t="s">
        <v>22</v>
      </c>
      <c r="C81" s="507"/>
      <c r="D81" s="169"/>
      <c r="E81" s="47"/>
      <c r="F81" s="88">
        <f>SUM(F79:F80)</f>
        <v>14.85</v>
      </c>
      <c r="G81" s="92">
        <f>SUM(G79:G80)</f>
        <v>14.85</v>
      </c>
      <c r="H81" s="47"/>
      <c r="I81" s="47"/>
      <c r="J81" s="47"/>
      <c r="K81" s="92">
        <f>SUM(K79:K80)</f>
        <v>6.0903999999999998</v>
      </c>
      <c r="L81" s="47"/>
      <c r="M81" s="101"/>
      <c r="N81" s="101"/>
      <c r="O81" s="47"/>
      <c r="P81" s="168"/>
    </row>
    <row r="82" spans="1:16" ht="50.65" customHeight="1" x14ac:dyDescent="0.25">
      <c r="A82" s="101">
        <v>28</v>
      </c>
      <c r="B82" s="117" t="s">
        <v>128</v>
      </c>
      <c r="C82" s="117" t="s">
        <v>1312</v>
      </c>
      <c r="D82" s="117" t="s">
        <v>1353</v>
      </c>
      <c r="E82" s="101" t="s">
        <v>128</v>
      </c>
      <c r="F82" s="87">
        <v>40.921999999999997</v>
      </c>
      <c r="G82" s="89">
        <v>40.921999999999997</v>
      </c>
      <c r="H82" s="101" t="s">
        <v>1112</v>
      </c>
      <c r="I82" s="101" t="s">
        <v>1354</v>
      </c>
      <c r="J82" s="101">
        <v>428.81</v>
      </c>
      <c r="K82" s="89">
        <v>3.5529999999999999</v>
      </c>
      <c r="L82" s="101">
        <v>11.52</v>
      </c>
      <c r="M82" s="101" t="s">
        <v>43</v>
      </c>
      <c r="N82" s="101" t="s">
        <v>21</v>
      </c>
      <c r="O82" s="101">
        <v>2017</v>
      </c>
      <c r="P82" s="168" t="s">
        <v>43</v>
      </c>
    </row>
    <row r="83" spans="1:16" ht="19.5" x14ac:dyDescent="0.25">
      <c r="A83" s="101"/>
      <c r="B83" s="507" t="s">
        <v>22</v>
      </c>
      <c r="C83" s="507"/>
      <c r="D83" s="169"/>
      <c r="E83" s="47"/>
      <c r="F83" s="88">
        <f>SUM(F82)</f>
        <v>40.921999999999997</v>
      </c>
      <c r="G83" s="92">
        <f>SUM(G82)</f>
        <v>40.921999999999997</v>
      </c>
      <c r="H83" s="47"/>
      <c r="I83" s="47"/>
      <c r="J83" s="47"/>
      <c r="K83" s="92">
        <f>SUM(K82)</f>
        <v>3.5529999999999999</v>
      </c>
      <c r="L83" s="47"/>
      <c r="M83" s="101"/>
      <c r="N83" s="101"/>
      <c r="O83" s="47"/>
      <c r="P83" s="168"/>
    </row>
    <row r="84" spans="1:16" ht="37.5" x14ac:dyDescent="0.25">
      <c r="A84" s="101">
        <v>29</v>
      </c>
      <c r="B84" s="117" t="s">
        <v>131</v>
      </c>
      <c r="C84" s="117" t="s">
        <v>1355</v>
      </c>
      <c r="D84" s="117" t="s">
        <v>130</v>
      </c>
      <c r="E84" s="101" t="s">
        <v>131</v>
      </c>
      <c r="F84" s="87">
        <v>15.134</v>
      </c>
      <c r="G84" s="89">
        <v>15.134</v>
      </c>
      <c r="H84" s="101" t="s">
        <v>1112</v>
      </c>
      <c r="I84" s="101" t="s">
        <v>16</v>
      </c>
      <c r="J84" s="90">
        <v>218630</v>
      </c>
      <c r="K84" s="89">
        <v>2.7240000000000002</v>
      </c>
      <c r="L84" s="101">
        <v>5.6</v>
      </c>
      <c r="M84" s="101" t="s">
        <v>466</v>
      </c>
      <c r="N84" s="101" t="s">
        <v>21</v>
      </c>
      <c r="O84" s="101">
        <v>2017</v>
      </c>
      <c r="P84" s="168" t="s">
        <v>466</v>
      </c>
    </row>
    <row r="85" spans="1:16" ht="19.5" x14ac:dyDescent="0.25">
      <c r="A85" s="101"/>
      <c r="B85" s="507" t="s">
        <v>22</v>
      </c>
      <c r="C85" s="507"/>
      <c r="D85" s="169"/>
      <c r="E85" s="47"/>
      <c r="F85" s="88">
        <f>SUM(F84)</f>
        <v>15.134</v>
      </c>
      <c r="G85" s="92">
        <f>SUM(G84)</f>
        <v>15.134</v>
      </c>
      <c r="H85" s="47"/>
      <c r="I85" s="47"/>
      <c r="J85" s="47"/>
      <c r="K85" s="92">
        <f>SUM(K84)</f>
        <v>2.7240000000000002</v>
      </c>
      <c r="L85" s="47"/>
      <c r="M85" s="101"/>
      <c r="N85" s="101"/>
      <c r="O85" s="47"/>
      <c r="P85" s="168"/>
    </row>
    <row r="86" spans="1:16" ht="56.25" x14ac:dyDescent="0.25">
      <c r="A86" s="101">
        <v>30</v>
      </c>
      <c r="B86" s="117" t="s">
        <v>134</v>
      </c>
      <c r="C86" s="117" t="s">
        <v>132</v>
      </c>
      <c r="D86" s="117" t="s">
        <v>1356</v>
      </c>
      <c r="E86" s="101" t="s">
        <v>134</v>
      </c>
      <c r="F86" s="87">
        <v>20.2</v>
      </c>
      <c r="G86" s="89">
        <v>20.2</v>
      </c>
      <c r="H86" s="101" t="s">
        <v>1112</v>
      </c>
      <c r="I86" s="101" t="s">
        <v>133</v>
      </c>
      <c r="J86" s="101" t="s">
        <v>1357</v>
      </c>
      <c r="K86" s="89">
        <f>226909/1000</f>
        <v>226.90899999999999</v>
      </c>
      <c r="L86" s="101">
        <v>1.1000000000000001</v>
      </c>
      <c r="M86" s="101" t="s">
        <v>492</v>
      </c>
      <c r="N86" s="101" t="s">
        <v>21</v>
      </c>
      <c r="O86" s="101">
        <v>2017</v>
      </c>
      <c r="P86" s="168" t="s">
        <v>492</v>
      </c>
    </row>
    <row r="87" spans="1:16" ht="19.5" x14ac:dyDescent="0.25">
      <c r="A87" s="101"/>
      <c r="B87" s="507" t="s">
        <v>22</v>
      </c>
      <c r="C87" s="507"/>
      <c r="D87" s="169"/>
      <c r="E87" s="47"/>
      <c r="F87" s="88">
        <f>SUM(F86)</f>
        <v>20.2</v>
      </c>
      <c r="G87" s="92">
        <f>SUM(G86)</f>
        <v>20.2</v>
      </c>
      <c r="H87" s="47"/>
      <c r="I87" s="47"/>
      <c r="J87" s="47"/>
      <c r="K87" s="92">
        <f>SUM(K86)</f>
        <v>226.90899999999999</v>
      </c>
      <c r="L87" s="47"/>
      <c r="M87" s="101"/>
      <c r="N87" s="101"/>
      <c r="O87" s="47"/>
      <c r="P87" s="168"/>
    </row>
    <row r="88" spans="1:16" ht="37.5" x14ac:dyDescent="0.25">
      <c r="A88" s="427">
        <v>31</v>
      </c>
      <c r="B88" s="439" t="s">
        <v>135</v>
      </c>
      <c r="C88" s="439" t="s">
        <v>1313</v>
      </c>
      <c r="D88" s="117" t="s">
        <v>1358</v>
      </c>
      <c r="E88" s="427" t="s">
        <v>135</v>
      </c>
      <c r="F88" s="87">
        <v>69.521000000000001</v>
      </c>
      <c r="G88" s="89">
        <v>69.521000000000001</v>
      </c>
      <c r="H88" s="427" t="s">
        <v>1112</v>
      </c>
      <c r="I88" s="101" t="s">
        <v>16</v>
      </c>
      <c r="J88" s="101">
        <v>956181</v>
      </c>
      <c r="K88" s="89">
        <v>18.071999999999999</v>
      </c>
      <c r="L88" s="101">
        <v>3.8</v>
      </c>
      <c r="M88" s="427" t="s">
        <v>1064</v>
      </c>
      <c r="N88" s="427" t="s">
        <v>21</v>
      </c>
      <c r="O88" s="427">
        <v>2017</v>
      </c>
      <c r="P88" s="535" t="s">
        <v>1064</v>
      </c>
    </row>
    <row r="89" spans="1:16" ht="37.5" x14ac:dyDescent="0.25">
      <c r="A89" s="427"/>
      <c r="B89" s="439"/>
      <c r="C89" s="439"/>
      <c r="D89" s="117" t="s">
        <v>1359</v>
      </c>
      <c r="E89" s="427"/>
      <c r="F89" s="87">
        <v>0.1792</v>
      </c>
      <c r="G89" s="89">
        <v>0.1792</v>
      </c>
      <c r="H89" s="427"/>
      <c r="I89" s="101" t="s">
        <v>16</v>
      </c>
      <c r="J89" s="101">
        <v>20780</v>
      </c>
      <c r="K89" s="89">
        <v>0.33600000000000002</v>
      </c>
      <c r="L89" s="101">
        <v>0.5</v>
      </c>
      <c r="M89" s="427"/>
      <c r="N89" s="427"/>
      <c r="O89" s="427"/>
      <c r="P89" s="535"/>
    </row>
    <row r="90" spans="1:16" ht="19.5" x14ac:dyDescent="0.25">
      <c r="A90" s="101"/>
      <c r="B90" s="507" t="s">
        <v>22</v>
      </c>
      <c r="C90" s="507"/>
      <c r="D90" s="169"/>
      <c r="E90" s="47"/>
      <c r="F90" s="88">
        <f>SUM(F88:F89)</f>
        <v>69.700199999999995</v>
      </c>
      <c r="G90" s="92">
        <f>SUM(G88:G89)</f>
        <v>69.700199999999995</v>
      </c>
      <c r="H90" s="47"/>
      <c r="I90" s="47"/>
      <c r="J90" s="47"/>
      <c r="K90" s="92">
        <f>SUM(K88:K89)</f>
        <v>18.407999999999998</v>
      </c>
      <c r="L90" s="47"/>
      <c r="M90" s="101"/>
      <c r="N90" s="101"/>
      <c r="O90" s="47"/>
      <c r="P90" s="168"/>
    </row>
    <row r="91" spans="1:16" ht="22.35" customHeight="1" x14ac:dyDescent="0.25">
      <c r="A91" s="427">
        <v>32</v>
      </c>
      <c r="B91" s="439" t="s">
        <v>1360</v>
      </c>
      <c r="C91" s="439" t="s">
        <v>1361</v>
      </c>
      <c r="D91" s="117" t="s">
        <v>1362</v>
      </c>
      <c r="E91" s="427" t="s">
        <v>138</v>
      </c>
      <c r="F91" s="87">
        <v>98.63</v>
      </c>
      <c r="G91" s="89">
        <v>98.63</v>
      </c>
      <c r="H91" s="427" t="s">
        <v>1112</v>
      </c>
      <c r="I91" s="101" t="s">
        <v>16</v>
      </c>
      <c r="J91" s="90">
        <v>91377</v>
      </c>
      <c r="K91" s="89">
        <v>1.641</v>
      </c>
      <c r="L91" s="101">
        <v>0</v>
      </c>
      <c r="M91" s="427" t="s">
        <v>1064</v>
      </c>
      <c r="N91" s="427" t="s">
        <v>21</v>
      </c>
      <c r="O91" s="427">
        <v>2017</v>
      </c>
      <c r="P91" s="535" t="s">
        <v>1064</v>
      </c>
    </row>
    <row r="92" spans="1:16" ht="56.25" x14ac:dyDescent="0.25">
      <c r="A92" s="427"/>
      <c r="B92" s="439"/>
      <c r="C92" s="439"/>
      <c r="D92" s="117" t="s">
        <v>1363</v>
      </c>
      <c r="E92" s="427"/>
      <c r="F92" s="87">
        <v>52.08</v>
      </c>
      <c r="G92" s="89">
        <v>52.08</v>
      </c>
      <c r="H92" s="427"/>
      <c r="I92" s="101" t="s">
        <v>37</v>
      </c>
      <c r="J92" s="90">
        <v>12564</v>
      </c>
      <c r="K92" s="89">
        <v>20.297999999999998</v>
      </c>
      <c r="L92" s="101">
        <v>2.6</v>
      </c>
      <c r="M92" s="427"/>
      <c r="N92" s="427"/>
      <c r="O92" s="427"/>
      <c r="P92" s="535"/>
    </row>
    <row r="93" spans="1:16" ht="19.5" x14ac:dyDescent="0.25">
      <c r="A93" s="101"/>
      <c r="B93" s="507" t="s">
        <v>22</v>
      </c>
      <c r="C93" s="507"/>
      <c r="D93" s="169"/>
      <c r="E93" s="47"/>
      <c r="F93" s="88">
        <f>SUM(F91:F92)</f>
        <v>150.70999999999998</v>
      </c>
      <c r="G93" s="92">
        <f>SUM(G91:G92)</f>
        <v>150.70999999999998</v>
      </c>
      <c r="H93" s="47"/>
      <c r="I93" s="47"/>
      <c r="J93" s="47"/>
      <c r="K93" s="92">
        <f>SUM(K91:K92)</f>
        <v>21.939</v>
      </c>
      <c r="L93" s="47"/>
      <c r="M93" s="101"/>
      <c r="N93" s="101"/>
      <c r="O93" s="47"/>
      <c r="P93" s="168"/>
    </row>
    <row r="94" spans="1:16" ht="37.5" x14ac:dyDescent="0.25">
      <c r="A94" s="427">
        <v>33</v>
      </c>
      <c r="B94" s="439" t="s">
        <v>141</v>
      </c>
      <c r="C94" s="439" t="s">
        <v>1314</v>
      </c>
      <c r="D94" s="117" t="s">
        <v>1364</v>
      </c>
      <c r="E94" s="427" t="s">
        <v>141</v>
      </c>
      <c r="F94" s="87">
        <v>42</v>
      </c>
      <c r="G94" s="89">
        <v>42</v>
      </c>
      <c r="H94" s="427" t="s">
        <v>1112</v>
      </c>
      <c r="I94" s="101" t="s">
        <v>1365</v>
      </c>
      <c r="J94" s="90">
        <v>1824</v>
      </c>
      <c r="K94" s="89">
        <v>13.68</v>
      </c>
      <c r="L94" s="101">
        <v>3</v>
      </c>
      <c r="M94" s="427" t="s">
        <v>142</v>
      </c>
      <c r="N94" s="427" t="s">
        <v>21</v>
      </c>
      <c r="O94" s="427">
        <v>2017</v>
      </c>
      <c r="P94" s="535" t="s">
        <v>142</v>
      </c>
    </row>
    <row r="95" spans="1:16" ht="56.25" x14ac:dyDescent="0.25">
      <c r="A95" s="427"/>
      <c r="B95" s="439"/>
      <c r="C95" s="439"/>
      <c r="D95" s="117" t="s">
        <v>143</v>
      </c>
      <c r="E95" s="427"/>
      <c r="F95" s="87">
        <v>24.1</v>
      </c>
      <c r="G95" s="89">
        <v>24.1</v>
      </c>
      <c r="H95" s="427"/>
      <c r="I95" s="101" t="s">
        <v>37</v>
      </c>
      <c r="J95" s="90">
        <v>3832</v>
      </c>
      <c r="K95" s="89">
        <v>5.6867000000000001</v>
      </c>
      <c r="L95" s="101">
        <v>4.2</v>
      </c>
      <c r="M95" s="427"/>
      <c r="N95" s="427"/>
      <c r="O95" s="427"/>
      <c r="P95" s="535"/>
    </row>
    <row r="96" spans="1:16" ht="19.5" x14ac:dyDescent="0.25">
      <c r="A96" s="101"/>
      <c r="B96" s="507" t="s">
        <v>22</v>
      </c>
      <c r="C96" s="507"/>
      <c r="D96" s="169"/>
      <c r="E96" s="47"/>
      <c r="F96" s="88">
        <f>SUM(F94:F95)</f>
        <v>66.099999999999994</v>
      </c>
      <c r="G96" s="92">
        <f>SUM(G94:G95)</f>
        <v>66.099999999999994</v>
      </c>
      <c r="H96" s="47"/>
      <c r="I96" s="47"/>
      <c r="J96" s="47"/>
      <c r="K96" s="92">
        <f>SUM(K94:K95)</f>
        <v>19.366700000000002</v>
      </c>
      <c r="L96" s="47"/>
      <c r="M96" s="101"/>
      <c r="N96" s="101"/>
      <c r="O96" s="47"/>
      <c r="P96" s="168"/>
    </row>
    <row r="97" spans="1:16" ht="37.5" x14ac:dyDescent="0.25">
      <c r="A97" s="101">
        <v>34</v>
      </c>
      <c r="B97" s="117" t="s">
        <v>146</v>
      </c>
      <c r="C97" s="117" t="s">
        <v>1366</v>
      </c>
      <c r="D97" s="117" t="s">
        <v>1367</v>
      </c>
      <c r="E97" s="101" t="s">
        <v>146</v>
      </c>
      <c r="F97" s="89">
        <v>3.75</v>
      </c>
      <c r="G97" s="89">
        <v>3.75</v>
      </c>
      <c r="H97" s="101" t="s">
        <v>1112</v>
      </c>
      <c r="I97" s="101" t="s">
        <v>456</v>
      </c>
      <c r="J97" s="101">
        <v>340200</v>
      </c>
      <c r="K97" s="89">
        <v>4.7628000000000004</v>
      </c>
      <c r="L97" s="101">
        <v>0.8</v>
      </c>
      <c r="M97" s="101" t="s">
        <v>27</v>
      </c>
      <c r="N97" s="101" t="s">
        <v>21</v>
      </c>
      <c r="O97" s="101">
        <v>2017</v>
      </c>
      <c r="P97" s="168" t="s">
        <v>27</v>
      </c>
    </row>
    <row r="98" spans="1:16" ht="19.5" x14ac:dyDescent="0.25">
      <c r="A98" s="101"/>
      <c r="B98" s="507" t="s">
        <v>22</v>
      </c>
      <c r="C98" s="507"/>
      <c r="D98" s="169"/>
      <c r="E98" s="47"/>
      <c r="F98" s="92">
        <f>SUM(F97)</f>
        <v>3.75</v>
      </c>
      <c r="G98" s="92">
        <f>SUM(G97)</f>
        <v>3.75</v>
      </c>
      <c r="H98" s="47"/>
      <c r="I98" s="47"/>
      <c r="J98" s="47"/>
      <c r="K98" s="92">
        <f>SUM(K97)</f>
        <v>4.7628000000000004</v>
      </c>
      <c r="L98" s="47"/>
      <c r="M98" s="101"/>
      <c r="N98" s="101"/>
      <c r="O98" s="47"/>
      <c r="P98" s="168"/>
    </row>
    <row r="99" spans="1:16" x14ac:dyDescent="0.25">
      <c r="A99" s="101">
        <v>35</v>
      </c>
      <c r="B99" s="117" t="s">
        <v>149</v>
      </c>
      <c r="C99" s="117" t="s">
        <v>1315</v>
      </c>
      <c r="D99" s="117" t="s">
        <v>1368</v>
      </c>
      <c r="E99" s="101" t="s">
        <v>149</v>
      </c>
      <c r="F99" s="87">
        <v>1.0149999999999999</v>
      </c>
      <c r="G99" s="89">
        <v>1.0149999999999999</v>
      </c>
      <c r="H99" s="101" t="s">
        <v>1112</v>
      </c>
      <c r="I99" s="101" t="s">
        <v>16</v>
      </c>
      <c r="J99" s="101">
        <v>295.93799999999999</v>
      </c>
      <c r="K99" s="89">
        <v>0.61899999999999999</v>
      </c>
      <c r="L99" s="101">
        <v>1.7</v>
      </c>
      <c r="M99" s="101" t="s">
        <v>438</v>
      </c>
      <c r="N99" s="101" t="s">
        <v>21</v>
      </c>
      <c r="O99" s="101">
        <v>2017</v>
      </c>
      <c r="P99" s="168" t="s">
        <v>438</v>
      </c>
    </row>
    <row r="100" spans="1:16" ht="19.5" x14ac:dyDescent="0.25">
      <c r="A100" s="101"/>
      <c r="B100" s="507" t="s">
        <v>22</v>
      </c>
      <c r="C100" s="507"/>
      <c r="D100" s="169"/>
      <c r="E100" s="47"/>
      <c r="F100" s="88">
        <f>SUM(F99)</f>
        <v>1.0149999999999999</v>
      </c>
      <c r="G100" s="92">
        <f>SUM(G99)</f>
        <v>1.0149999999999999</v>
      </c>
      <c r="H100" s="47"/>
      <c r="I100" s="47"/>
      <c r="J100" s="47"/>
      <c r="K100" s="92">
        <f>SUM(K99)</f>
        <v>0.61899999999999999</v>
      </c>
      <c r="L100" s="47"/>
      <c r="M100" s="101"/>
      <c r="N100" s="101"/>
      <c r="O100" s="47"/>
      <c r="P100" s="168"/>
    </row>
    <row r="101" spans="1:16" x14ac:dyDescent="0.25">
      <c r="A101" s="427">
        <v>36</v>
      </c>
      <c r="B101" s="439" t="s">
        <v>152</v>
      </c>
      <c r="C101" s="439" t="s">
        <v>1316</v>
      </c>
      <c r="D101" s="117" t="s">
        <v>1370</v>
      </c>
      <c r="E101" s="427" t="s">
        <v>152</v>
      </c>
      <c r="F101" s="87">
        <v>12.375</v>
      </c>
      <c r="G101" s="89">
        <v>12.375</v>
      </c>
      <c r="H101" s="427" t="s">
        <v>1112</v>
      </c>
      <c r="I101" s="101" t="s">
        <v>1365</v>
      </c>
      <c r="J101" s="101">
        <v>114.1056</v>
      </c>
      <c r="K101" s="89">
        <v>2.4750000000000001</v>
      </c>
      <c r="L101" s="101">
        <v>3.7</v>
      </c>
      <c r="M101" s="427" t="s">
        <v>142</v>
      </c>
      <c r="N101" s="427" t="s">
        <v>21</v>
      </c>
      <c r="O101" s="427">
        <v>2017</v>
      </c>
      <c r="P101" s="535" t="s">
        <v>142</v>
      </c>
    </row>
    <row r="102" spans="1:16" x14ac:dyDescent="0.25">
      <c r="A102" s="427"/>
      <c r="B102" s="439"/>
      <c r="C102" s="439"/>
      <c r="D102" s="117" t="s">
        <v>1369</v>
      </c>
      <c r="E102" s="427"/>
      <c r="F102" s="87">
        <v>0.55967999999999996</v>
      </c>
      <c r="G102" s="89">
        <v>0.55967999999999996</v>
      </c>
      <c r="H102" s="427"/>
      <c r="I102" s="101" t="s">
        <v>1365</v>
      </c>
      <c r="J102" s="101">
        <v>16.463999999999999</v>
      </c>
      <c r="K102" s="89">
        <v>0.151</v>
      </c>
      <c r="L102" s="101">
        <v>3.7</v>
      </c>
      <c r="M102" s="427"/>
      <c r="N102" s="427"/>
      <c r="O102" s="427"/>
      <c r="P102" s="535"/>
    </row>
    <row r="103" spans="1:16" x14ac:dyDescent="0.25">
      <c r="A103" s="427"/>
      <c r="B103" s="439"/>
      <c r="C103" s="439"/>
      <c r="D103" s="117" t="s">
        <v>154</v>
      </c>
      <c r="E103" s="427"/>
      <c r="F103" s="87">
        <v>440.22</v>
      </c>
      <c r="G103" s="89">
        <v>440.22</v>
      </c>
      <c r="H103" s="427"/>
      <c r="I103" s="101" t="s">
        <v>1365</v>
      </c>
      <c r="J103" s="101">
        <v>2136.558</v>
      </c>
      <c r="K103" s="89">
        <v>25.2242</v>
      </c>
      <c r="L103" s="101">
        <v>7</v>
      </c>
      <c r="M103" s="427"/>
      <c r="N103" s="427"/>
      <c r="O103" s="427"/>
      <c r="P103" s="535"/>
    </row>
    <row r="104" spans="1:16" x14ac:dyDescent="0.25">
      <c r="A104" s="427"/>
      <c r="B104" s="439"/>
      <c r="C104" s="439"/>
      <c r="D104" s="117" t="s">
        <v>1371</v>
      </c>
      <c r="E104" s="427"/>
      <c r="F104" s="87">
        <v>260.35599999999999</v>
      </c>
      <c r="G104" s="89">
        <v>260.35599999999999</v>
      </c>
      <c r="H104" s="427"/>
      <c r="I104" s="101" t="s">
        <v>1365</v>
      </c>
      <c r="J104" s="101">
        <v>5538.1279999999997</v>
      </c>
      <c r="K104" s="89">
        <v>65.383139999999997</v>
      </c>
      <c r="L104" s="101">
        <v>4</v>
      </c>
      <c r="M104" s="427"/>
      <c r="N104" s="427"/>
      <c r="O104" s="427"/>
      <c r="P104" s="535"/>
    </row>
    <row r="105" spans="1:16" ht="19.5" x14ac:dyDescent="0.25">
      <c r="A105" s="101"/>
      <c r="B105" s="507" t="s">
        <v>22</v>
      </c>
      <c r="C105" s="507"/>
      <c r="D105" s="169"/>
      <c r="E105" s="47"/>
      <c r="F105" s="88">
        <f>SUM(F101:F104)</f>
        <v>713.51068000000009</v>
      </c>
      <c r="G105" s="92">
        <f>SUM(G101:G104)</f>
        <v>713.51068000000009</v>
      </c>
      <c r="H105" s="47"/>
      <c r="I105" s="47"/>
      <c r="J105" s="47"/>
      <c r="K105" s="92">
        <f>SUM(K101:K104)</f>
        <v>93.233339999999998</v>
      </c>
      <c r="L105" s="47"/>
      <c r="M105" s="101"/>
      <c r="N105" s="101"/>
      <c r="O105" s="47"/>
      <c r="P105" s="168"/>
    </row>
    <row r="106" spans="1:16" ht="56.25" x14ac:dyDescent="0.25">
      <c r="A106" s="427">
        <v>37</v>
      </c>
      <c r="B106" s="439" t="s">
        <v>158</v>
      </c>
      <c r="C106" s="439" t="s">
        <v>1377</v>
      </c>
      <c r="D106" s="117" t="s">
        <v>1372</v>
      </c>
      <c r="E106" s="427" t="s">
        <v>158</v>
      </c>
      <c r="F106" s="87">
        <v>3.1</v>
      </c>
      <c r="G106" s="89">
        <v>3.1</v>
      </c>
      <c r="H106" s="427" t="s">
        <v>1112</v>
      </c>
      <c r="I106" s="101" t="s">
        <v>16</v>
      </c>
      <c r="J106" s="90">
        <v>284900</v>
      </c>
      <c r="K106" s="89">
        <v>2.7149999999999999</v>
      </c>
      <c r="L106" s="101">
        <v>1.2</v>
      </c>
      <c r="M106" s="427" t="s">
        <v>492</v>
      </c>
      <c r="N106" s="427" t="s">
        <v>21</v>
      </c>
      <c r="O106" s="427">
        <v>2017</v>
      </c>
      <c r="P106" s="535" t="s">
        <v>492</v>
      </c>
    </row>
    <row r="107" spans="1:16" ht="56.25" x14ac:dyDescent="0.25">
      <c r="A107" s="427"/>
      <c r="B107" s="439"/>
      <c r="C107" s="439"/>
      <c r="D107" s="117" t="s">
        <v>1373</v>
      </c>
      <c r="E107" s="427"/>
      <c r="F107" s="87">
        <v>2.1</v>
      </c>
      <c r="G107" s="89">
        <v>2.1</v>
      </c>
      <c r="H107" s="427"/>
      <c r="I107" s="101" t="s">
        <v>16</v>
      </c>
      <c r="J107" s="90">
        <v>116800</v>
      </c>
      <c r="K107" s="89">
        <v>1.67</v>
      </c>
      <c r="L107" s="101">
        <v>1.3</v>
      </c>
      <c r="M107" s="427"/>
      <c r="N107" s="427"/>
      <c r="O107" s="427"/>
      <c r="P107" s="535"/>
    </row>
    <row r="108" spans="1:16" ht="75" x14ac:dyDescent="0.25">
      <c r="A108" s="427"/>
      <c r="B108" s="439"/>
      <c r="C108" s="439"/>
      <c r="D108" s="117" t="s">
        <v>1374</v>
      </c>
      <c r="E108" s="427"/>
      <c r="F108" s="87">
        <v>0.93</v>
      </c>
      <c r="G108" s="89">
        <v>0.93</v>
      </c>
      <c r="H108" s="427"/>
      <c r="I108" s="101" t="s">
        <v>16</v>
      </c>
      <c r="J108" s="90">
        <v>17300</v>
      </c>
      <c r="K108" s="89">
        <v>0.16500000000000001</v>
      </c>
      <c r="L108" s="101">
        <v>5.8</v>
      </c>
      <c r="M108" s="427"/>
      <c r="N108" s="427"/>
      <c r="O108" s="427"/>
      <c r="P108" s="535"/>
    </row>
    <row r="109" spans="1:16" ht="37.5" x14ac:dyDescent="0.25">
      <c r="A109" s="427"/>
      <c r="B109" s="439"/>
      <c r="C109" s="439"/>
      <c r="D109" s="117" t="s">
        <v>1375</v>
      </c>
      <c r="E109" s="427"/>
      <c r="F109" s="87">
        <v>0.15</v>
      </c>
      <c r="G109" s="89">
        <v>0.15</v>
      </c>
      <c r="H109" s="427"/>
      <c r="I109" s="101" t="s">
        <v>16</v>
      </c>
      <c r="J109" s="90">
        <v>19600</v>
      </c>
      <c r="K109" s="89">
        <v>0.187</v>
      </c>
      <c r="L109" s="101">
        <v>1</v>
      </c>
      <c r="M109" s="427"/>
      <c r="N109" s="427"/>
      <c r="O109" s="427"/>
      <c r="P109" s="535"/>
    </row>
    <row r="110" spans="1:16" ht="75" x14ac:dyDescent="0.25">
      <c r="A110" s="427"/>
      <c r="B110" s="439"/>
      <c r="C110" s="439"/>
      <c r="D110" s="117" t="s">
        <v>1376</v>
      </c>
      <c r="E110" s="427"/>
      <c r="F110" s="87">
        <v>12.654999999999999</v>
      </c>
      <c r="G110" s="89">
        <v>12.654999999999999</v>
      </c>
      <c r="H110" s="427"/>
      <c r="I110" s="101" t="s">
        <v>16</v>
      </c>
      <c r="J110" s="90">
        <v>35500</v>
      </c>
      <c r="K110" s="89">
        <v>0.33829999999999999</v>
      </c>
      <c r="L110" s="101">
        <v>37.5</v>
      </c>
      <c r="M110" s="427"/>
      <c r="N110" s="427"/>
      <c r="O110" s="427"/>
      <c r="P110" s="535"/>
    </row>
    <row r="111" spans="1:16" ht="19.5" x14ac:dyDescent="0.25">
      <c r="A111" s="101"/>
      <c r="B111" s="507" t="s">
        <v>22</v>
      </c>
      <c r="C111" s="507"/>
      <c r="D111" s="169"/>
      <c r="E111" s="47"/>
      <c r="F111" s="88">
        <f>SUM(F106:F110)</f>
        <v>18.934999999999999</v>
      </c>
      <c r="G111" s="92">
        <f>SUM(G106:G110)</f>
        <v>18.934999999999999</v>
      </c>
      <c r="H111" s="47"/>
      <c r="I111" s="47"/>
      <c r="J111" s="47"/>
      <c r="K111" s="92">
        <f>SUM(K106:K110)</f>
        <v>5.0753000000000004</v>
      </c>
      <c r="L111" s="47"/>
      <c r="M111" s="101"/>
      <c r="N111" s="101"/>
      <c r="O111" s="47"/>
      <c r="P111" s="168"/>
    </row>
    <row r="112" spans="1:16" x14ac:dyDescent="0.25">
      <c r="A112" s="427">
        <v>38</v>
      </c>
      <c r="B112" s="439" t="s">
        <v>165</v>
      </c>
      <c r="C112" s="439" t="s">
        <v>163</v>
      </c>
      <c r="D112" s="117" t="s">
        <v>164</v>
      </c>
      <c r="E112" s="449" t="s">
        <v>165</v>
      </c>
      <c r="F112" s="87">
        <v>69.38</v>
      </c>
      <c r="G112" s="89">
        <v>69.38</v>
      </c>
      <c r="H112" s="427" t="s">
        <v>1112</v>
      </c>
      <c r="I112" s="101" t="s">
        <v>16</v>
      </c>
      <c r="J112" s="101">
        <v>609.79999999999995</v>
      </c>
      <c r="K112" s="89">
        <v>9.1</v>
      </c>
      <c r="L112" s="101">
        <v>8</v>
      </c>
      <c r="M112" s="427" t="s">
        <v>142</v>
      </c>
      <c r="N112" s="427" t="s">
        <v>21</v>
      </c>
      <c r="O112" s="427">
        <v>2017</v>
      </c>
      <c r="P112" s="535" t="s">
        <v>142</v>
      </c>
    </row>
    <row r="113" spans="1:16" ht="48.6" customHeight="1" x14ac:dyDescent="0.25">
      <c r="A113" s="427"/>
      <c r="B113" s="439"/>
      <c r="C113" s="439"/>
      <c r="D113" s="117" t="s">
        <v>166</v>
      </c>
      <c r="E113" s="490"/>
      <c r="F113" s="87">
        <v>2.2000000000000002</v>
      </c>
      <c r="G113" s="89">
        <v>2.2000000000000002</v>
      </c>
      <c r="H113" s="427"/>
      <c r="I113" s="101" t="s">
        <v>16</v>
      </c>
      <c r="J113" s="101">
        <v>64.8</v>
      </c>
      <c r="K113" s="89">
        <v>0.97</v>
      </c>
      <c r="L113" s="101">
        <v>3</v>
      </c>
      <c r="M113" s="427"/>
      <c r="N113" s="427"/>
      <c r="O113" s="427"/>
      <c r="P113" s="535"/>
    </row>
    <row r="114" spans="1:16" ht="37.5" x14ac:dyDescent="0.25">
      <c r="A114" s="427"/>
      <c r="B114" s="439"/>
      <c r="C114" s="439"/>
      <c r="D114" s="117" t="s">
        <v>167</v>
      </c>
      <c r="E114" s="433"/>
      <c r="F114" s="87">
        <v>1066.9000000000001</v>
      </c>
      <c r="G114" s="89">
        <v>1066.9000000000001</v>
      </c>
      <c r="H114" s="427"/>
      <c r="I114" s="101" t="s">
        <v>37</v>
      </c>
      <c r="J114" s="101">
        <v>1633.8</v>
      </c>
      <c r="K114" s="89">
        <v>2.88</v>
      </c>
      <c r="L114" s="101">
        <v>0</v>
      </c>
      <c r="M114" s="427"/>
      <c r="N114" s="427"/>
      <c r="O114" s="427"/>
      <c r="P114" s="535"/>
    </row>
    <row r="115" spans="1:16" ht="19.5" x14ac:dyDescent="0.25">
      <c r="A115" s="101"/>
      <c r="B115" s="507" t="s">
        <v>22</v>
      </c>
      <c r="C115" s="507"/>
      <c r="D115" s="169"/>
      <c r="E115" s="47"/>
      <c r="F115" s="88">
        <f>SUM(F112:F114)</f>
        <v>1138.48</v>
      </c>
      <c r="G115" s="92">
        <f>SUM(G112:G114)</f>
        <v>1138.48</v>
      </c>
      <c r="H115" s="47"/>
      <c r="I115" s="47"/>
      <c r="J115" s="47"/>
      <c r="K115" s="92">
        <f>SUM(K112:K114)</f>
        <v>12.95</v>
      </c>
      <c r="L115" s="47"/>
      <c r="M115" s="101"/>
      <c r="N115" s="101"/>
      <c r="O115" s="47"/>
      <c r="P115" s="168"/>
    </row>
    <row r="116" spans="1:16" s="228" customFormat="1" ht="19.5" customHeight="1" x14ac:dyDescent="0.25">
      <c r="A116" s="159"/>
      <c r="B116" s="220" t="s">
        <v>168</v>
      </c>
      <c r="C116" s="529"/>
      <c r="D116" s="529"/>
      <c r="E116" s="159"/>
      <c r="F116" s="368">
        <f>F51+F53+F55+F57+F59+F61+F63+F65+F70+F75+F78+F81+F83+F85+F87+F90+F93+F96+F98+F100+F105+F111+F115</f>
        <v>7286.8428800000002</v>
      </c>
      <c r="G116" s="306">
        <f>G51+G53+G55+G57+G59+G61+G63+G65+G70+G75+G78+G81+G83+G85+G87+G90+G93+G96+G98+G100+G105+G111+G115</f>
        <v>7286.8428800000002</v>
      </c>
      <c r="H116" s="159"/>
      <c r="I116" s="159"/>
      <c r="J116" s="159"/>
      <c r="K116" s="306">
        <f>K51+K53+K55+K57+K59+K61+K63+K65+K70+K75+K78+K81+K83+K85+K87+K90+K93+K96+K98+K100+K105+K111+K115</f>
        <v>1043.5444850000001</v>
      </c>
      <c r="L116" s="159"/>
      <c r="M116" s="159"/>
      <c r="N116" s="159"/>
      <c r="O116" s="159"/>
      <c r="P116" s="224"/>
    </row>
    <row r="117" spans="1:16" ht="58.15" customHeight="1" x14ac:dyDescent="0.25">
      <c r="A117" s="427">
        <v>39</v>
      </c>
      <c r="B117" s="439" t="s">
        <v>171</v>
      </c>
      <c r="C117" s="439" t="s">
        <v>169</v>
      </c>
      <c r="D117" s="117" t="s">
        <v>170</v>
      </c>
      <c r="E117" s="427" t="s">
        <v>172</v>
      </c>
      <c r="F117" s="87">
        <v>23.762</v>
      </c>
      <c r="G117" s="89">
        <v>23.762</v>
      </c>
      <c r="H117" s="427" t="s">
        <v>428</v>
      </c>
      <c r="I117" s="101" t="s">
        <v>16</v>
      </c>
      <c r="J117" s="101">
        <v>895.024</v>
      </c>
      <c r="K117" s="89">
        <v>16.334</v>
      </c>
      <c r="L117" s="101">
        <v>1.45</v>
      </c>
      <c r="M117" s="427" t="s">
        <v>442</v>
      </c>
      <c r="N117" s="427" t="s">
        <v>21</v>
      </c>
      <c r="O117" s="427">
        <v>2018</v>
      </c>
      <c r="P117" s="535" t="s">
        <v>442</v>
      </c>
    </row>
    <row r="118" spans="1:16" ht="75" x14ac:dyDescent="0.25">
      <c r="A118" s="427"/>
      <c r="B118" s="439"/>
      <c r="C118" s="439"/>
      <c r="D118" s="117" t="s">
        <v>174</v>
      </c>
      <c r="E118" s="427"/>
      <c r="F118" s="87">
        <v>12.754</v>
      </c>
      <c r="G118" s="89">
        <v>12.754</v>
      </c>
      <c r="H118" s="427"/>
      <c r="I118" s="101" t="s">
        <v>16</v>
      </c>
      <c r="J118" s="101">
        <v>352.73599999999999</v>
      </c>
      <c r="K118" s="89">
        <v>6.4370000000000003</v>
      </c>
      <c r="L118" s="101">
        <v>1.98</v>
      </c>
      <c r="M118" s="427"/>
      <c r="N118" s="427"/>
      <c r="O118" s="427"/>
      <c r="P118" s="535"/>
    </row>
    <row r="119" spans="1:16" ht="37.5" x14ac:dyDescent="0.25">
      <c r="A119" s="427"/>
      <c r="B119" s="439"/>
      <c r="C119" s="439"/>
      <c r="D119" s="117" t="s">
        <v>175</v>
      </c>
      <c r="E119" s="427"/>
      <c r="F119" s="87">
        <v>0.13600000000000001</v>
      </c>
      <c r="G119" s="89">
        <v>0.13600000000000001</v>
      </c>
      <c r="H119" s="427"/>
      <c r="I119" s="101" t="s">
        <v>16</v>
      </c>
      <c r="J119" s="101">
        <v>4.18</v>
      </c>
      <c r="K119" s="89">
        <v>7.5999999999999998E-2</v>
      </c>
      <c r="L119" s="101">
        <v>1.78</v>
      </c>
      <c r="M119" s="427"/>
      <c r="N119" s="427"/>
      <c r="O119" s="427"/>
      <c r="P119" s="535"/>
    </row>
    <row r="120" spans="1:16" ht="19.5" x14ac:dyDescent="0.25">
      <c r="A120" s="101"/>
      <c r="B120" s="507" t="s">
        <v>22</v>
      </c>
      <c r="C120" s="507"/>
      <c r="D120" s="169"/>
      <c r="E120" s="47"/>
      <c r="F120" s="88">
        <f>SUM(F117:F119)</f>
        <v>36.652000000000001</v>
      </c>
      <c r="G120" s="92">
        <f>SUM(G117:G119)</f>
        <v>36.652000000000001</v>
      </c>
      <c r="H120" s="47"/>
      <c r="I120" s="47"/>
      <c r="J120" s="47"/>
      <c r="K120" s="92">
        <f>SUM(K117:K119)</f>
        <v>22.847000000000001</v>
      </c>
      <c r="L120" s="47"/>
      <c r="M120" s="101"/>
      <c r="N120" s="101"/>
      <c r="O120" s="47"/>
      <c r="P120" s="168"/>
    </row>
    <row r="121" spans="1:16" x14ac:dyDescent="0.25">
      <c r="A121" s="427">
        <v>40</v>
      </c>
      <c r="B121" s="439" t="s">
        <v>178</v>
      </c>
      <c r="C121" s="439" t="s">
        <v>176</v>
      </c>
      <c r="D121" s="117" t="s">
        <v>177</v>
      </c>
      <c r="E121" s="427" t="s">
        <v>178</v>
      </c>
      <c r="F121" s="87">
        <v>7.7</v>
      </c>
      <c r="G121" s="89">
        <v>7.7</v>
      </c>
      <c r="H121" s="427" t="s">
        <v>1112</v>
      </c>
      <c r="I121" s="101" t="s">
        <v>16</v>
      </c>
      <c r="J121" s="101">
        <v>103500</v>
      </c>
      <c r="K121" s="89">
        <v>1.5820000000000001</v>
      </c>
      <c r="L121" s="101">
        <v>4.9000000000000004</v>
      </c>
      <c r="M121" s="427" t="s">
        <v>142</v>
      </c>
      <c r="N121" s="427" t="s">
        <v>21</v>
      </c>
      <c r="O121" s="427">
        <v>2018</v>
      </c>
      <c r="P121" s="535" t="s">
        <v>142</v>
      </c>
    </row>
    <row r="122" spans="1:16" x14ac:dyDescent="0.25">
      <c r="A122" s="427"/>
      <c r="B122" s="439"/>
      <c r="C122" s="439"/>
      <c r="D122" s="117" t="s">
        <v>179</v>
      </c>
      <c r="E122" s="427"/>
      <c r="F122" s="87">
        <v>4.3</v>
      </c>
      <c r="G122" s="89">
        <v>4.3</v>
      </c>
      <c r="H122" s="427"/>
      <c r="I122" s="101" t="s">
        <v>37</v>
      </c>
      <c r="J122" s="101">
        <v>178.56</v>
      </c>
      <c r="K122" s="89">
        <v>0.51700000000000002</v>
      </c>
      <c r="L122" s="101">
        <v>5.2</v>
      </c>
      <c r="M122" s="427"/>
      <c r="N122" s="427"/>
      <c r="O122" s="427"/>
      <c r="P122" s="535"/>
    </row>
    <row r="123" spans="1:16" ht="19.5" x14ac:dyDescent="0.25">
      <c r="A123" s="101"/>
      <c r="B123" s="507" t="s">
        <v>22</v>
      </c>
      <c r="C123" s="507"/>
      <c r="D123" s="169"/>
      <c r="E123" s="47"/>
      <c r="F123" s="88">
        <f>SUM(F121:F122)</f>
        <v>12</v>
      </c>
      <c r="G123" s="92">
        <f>SUM(G121:G122)</f>
        <v>12</v>
      </c>
      <c r="H123" s="47"/>
      <c r="I123" s="47"/>
      <c r="J123" s="47"/>
      <c r="K123" s="92">
        <f>SUM(K121:K122)</f>
        <v>2.0990000000000002</v>
      </c>
      <c r="L123" s="47"/>
      <c r="M123" s="101"/>
      <c r="N123" s="101"/>
      <c r="O123" s="47"/>
      <c r="P123" s="168"/>
    </row>
    <row r="124" spans="1:16" x14ac:dyDescent="0.25">
      <c r="A124" s="427">
        <v>41</v>
      </c>
      <c r="B124" s="439" t="s">
        <v>182</v>
      </c>
      <c r="C124" s="439" t="s">
        <v>180</v>
      </c>
      <c r="D124" s="117" t="s">
        <v>181</v>
      </c>
      <c r="E124" s="427" t="s">
        <v>182</v>
      </c>
      <c r="F124" s="87">
        <v>1.02</v>
      </c>
      <c r="G124" s="89">
        <v>1.02</v>
      </c>
      <c r="H124" s="427" t="s">
        <v>1112</v>
      </c>
      <c r="I124" s="101" t="s">
        <v>16</v>
      </c>
      <c r="J124" s="101">
        <v>24600</v>
      </c>
      <c r="K124" s="89">
        <v>0.26617000000000002</v>
      </c>
      <c r="L124" s="101">
        <v>3.8</v>
      </c>
      <c r="M124" s="427" t="s">
        <v>142</v>
      </c>
      <c r="N124" s="427" t="s">
        <v>21</v>
      </c>
      <c r="O124" s="427">
        <v>2018</v>
      </c>
      <c r="P124" s="535" t="s">
        <v>142</v>
      </c>
    </row>
    <row r="125" spans="1:16" ht="37.5" x14ac:dyDescent="0.25">
      <c r="A125" s="427"/>
      <c r="B125" s="439"/>
      <c r="C125" s="439"/>
      <c r="D125" s="117" t="s">
        <v>183</v>
      </c>
      <c r="E125" s="427"/>
      <c r="F125" s="87">
        <v>75.260000000000005</v>
      </c>
      <c r="G125" s="89">
        <v>75.260000000000005</v>
      </c>
      <c r="H125" s="427"/>
      <c r="I125" s="101" t="s">
        <v>16</v>
      </c>
      <c r="J125" s="101">
        <v>496318</v>
      </c>
      <c r="K125" s="89">
        <v>5.476</v>
      </c>
      <c r="L125" s="101">
        <v>13.7</v>
      </c>
      <c r="M125" s="427"/>
      <c r="N125" s="427"/>
      <c r="O125" s="427"/>
      <c r="P125" s="535"/>
    </row>
    <row r="126" spans="1:16" x14ac:dyDescent="0.25">
      <c r="A126" s="427"/>
      <c r="B126" s="439"/>
      <c r="C126" s="439"/>
      <c r="D126" s="117" t="s">
        <v>184</v>
      </c>
      <c r="E126" s="427"/>
      <c r="F126" s="87">
        <v>4</v>
      </c>
      <c r="G126" s="89">
        <v>4</v>
      </c>
      <c r="H126" s="427"/>
      <c r="I126" s="101" t="s">
        <v>16</v>
      </c>
      <c r="J126" s="101">
        <v>141800</v>
      </c>
      <c r="K126" s="89">
        <v>1.5343</v>
      </c>
      <c r="L126" s="101">
        <v>2.6</v>
      </c>
      <c r="M126" s="427"/>
      <c r="N126" s="427"/>
      <c r="O126" s="427"/>
      <c r="P126" s="535"/>
    </row>
    <row r="127" spans="1:16" ht="37.5" x14ac:dyDescent="0.25">
      <c r="A127" s="427"/>
      <c r="B127" s="439"/>
      <c r="C127" s="439"/>
      <c r="D127" s="117" t="s">
        <v>185</v>
      </c>
      <c r="E127" s="427"/>
      <c r="F127" s="87">
        <v>58.52</v>
      </c>
      <c r="G127" s="89">
        <v>58.52</v>
      </c>
      <c r="H127" s="427"/>
      <c r="I127" s="101" t="s">
        <v>16</v>
      </c>
      <c r="J127" s="101">
        <v>803000</v>
      </c>
      <c r="K127" s="89">
        <v>8.6884599999999992</v>
      </c>
      <c r="L127" s="101">
        <v>6.7</v>
      </c>
      <c r="M127" s="427"/>
      <c r="N127" s="427"/>
      <c r="O127" s="427"/>
      <c r="P127" s="535"/>
    </row>
    <row r="128" spans="1:16" ht="19.5" x14ac:dyDescent="0.25">
      <c r="A128" s="101"/>
      <c r="B128" s="507" t="s">
        <v>22</v>
      </c>
      <c r="C128" s="507"/>
      <c r="D128" s="169"/>
      <c r="E128" s="47"/>
      <c r="F128" s="88">
        <f>SUM(F124:F127)</f>
        <v>138.80000000000001</v>
      </c>
      <c r="G128" s="92">
        <f>SUM(G124:G127)</f>
        <v>138.80000000000001</v>
      </c>
      <c r="H128" s="47"/>
      <c r="I128" s="47"/>
      <c r="J128" s="47"/>
      <c r="K128" s="92">
        <f>SUM(K124:K127)</f>
        <v>15.964929999999999</v>
      </c>
      <c r="L128" s="47"/>
      <c r="M128" s="101"/>
      <c r="N128" s="101"/>
      <c r="O128" s="47"/>
      <c r="P128" s="168"/>
    </row>
    <row r="129" spans="1:16" ht="75" x14ac:dyDescent="0.25">
      <c r="A129" s="101">
        <v>42</v>
      </c>
      <c r="B129" s="117" t="s">
        <v>188</v>
      </c>
      <c r="C129" s="117" t="s">
        <v>186</v>
      </c>
      <c r="D129" s="117" t="s">
        <v>187</v>
      </c>
      <c r="E129" s="101" t="s">
        <v>189</v>
      </c>
      <c r="F129" s="87">
        <v>54.3</v>
      </c>
      <c r="G129" s="89">
        <v>54.3</v>
      </c>
      <c r="H129" s="101" t="s">
        <v>427</v>
      </c>
      <c r="I129" s="101" t="s">
        <v>16</v>
      </c>
      <c r="J129" s="101">
        <v>523336</v>
      </c>
      <c r="K129" s="89">
        <v>9.35</v>
      </c>
      <c r="L129" s="101">
        <v>5.8</v>
      </c>
      <c r="M129" s="101" t="s">
        <v>142</v>
      </c>
      <c r="N129" s="101" t="s">
        <v>21</v>
      </c>
      <c r="O129" s="101">
        <v>2018</v>
      </c>
      <c r="P129" s="168" t="s">
        <v>142</v>
      </c>
    </row>
    <row r="130" spans="1:16" ht="19.5" x14ac:dyDescent="0.25">
      <c r="A130" s="101"/>
      <c r="B130" s="507" t="s">
        <v>22</v>
      </c>
      <c r="C130" s="507"/>
      <c r="D130" s="169"/>
      <c r="E130" s="47"/>
      <c r="F130" s="88">
        <f>SUM(F129)</f>
        <v>54.3</v>
      </c>
      <c r="G130" s="92">
        <f>SUM(G129)</f>
        <v>54.3</v>
      </c>
      <c r="H130" s="47"/>
      <c r="I130" s="47"/>
      <c r="J130" s="47"/>
      <c r="K130" s="92">
        <f>SUM(K129)</f>
        <v>9.35</v>
      </c>
      <c r="L130" s="47"/>
      <c r="M130" s="101"/>
      <c r="N130" s="101"/>
      <c r="O130" s="47"/>
      <c r="P130" s="168"/>
    </row>
    <row r="131" spans="1:16" x14ac:dyDescent="0.25">
      <c r="A131" s="427">
        <v>43</v>
      </c>
      <c r="B131" s="439" t="s">
        <v>193</v>
      </c>
      <c r="C131" s="439" t="s">
        <v>191</v>
      </c>
      <c r="D131" s="117" t="s">
        <v>192</v>
      </c>
      <c r="E131" s="427" t="s">
        <v>193</v>
      </c>
      <c r="F131" s="87">
        <v>14</v>
      </c>
      <c r="G131" s="89">
        <v>14</v>
      </c>
      <c r="H131" s="427" t="s">
        <v>1112</v>
      </c>
      <c r="I131" s="101" t="s">
        <v>37</v>
      </c>
      <c r="J131" s="101">
        <v>531.20000000000005</v>
      </c>
      <c r="K131" s="89">
        <v>3.5057</v>
      </c>
      <c r="L131" s="101">
        <v>4</v>
      </c>
      <c r="M131" s="427" t="s">
        <v>492</v>
      </c>
      <c r="N131" s="427" t="s">
        <v>21</v>
      </c>
      <c r="O131" s="427">
        <v>2018</v>
      </c>
      <c r="P131" s="535" t="s">
        <v>492</v>
      </c>
    </row>
    <row r="132" spans="1:16" x14ac:dyDescent="0.25">
      <c r="A132" s="427"/>
      <c r="B132" s="439"/>
      <c r="C132" s="439"/>
      <c r="D132" s="117" t="s">
        <v>194</v>
      </c>
      <c r="E132" s="427"/>
      <c r="F132" s="87">
        <v>26.114999999999998</v>
      </c>
      <c r="G132" s="89">
        <v>26.114999999999998</v>
      </c>
      <c r="H132" s="427"/>
      <c r="I132" s="101" t="s">
        <v>16</v>
      </c>
      <c r="J132" s="101">
        <v>721.7</v>
      </c>
      <c r="K132" s="89">
        <v>9.4594000000000005</v>
      </c>
      <c r="L132" s="101">
        <v>2.8</v>
      </c>
      <c r="M132" s="427"/>
      <c r="N132" s="427"/>
      <c r="O132" s="427"/>
      <c r="P132" s="535"/>
    </row>
    <row r="133" spans="1:16" x14ac:dyDescent="0.25">
      <c r="A133" s="427"/>
      <c r="B133" s="439"/>
      <c r="C133" s="439"/>
      <c r="D133" s="117" t="s">
        <v>195</v>
      </c>
      <c r="E133" s="427"/>
      <c r="F133" s="87">
        <v>0.08</v>
      </c>
      <c r="G133" s="89">
        <v>0.08</v>
      </c>
      <c r="H133" s="427"/>
      <c r="I133" s="101" t="s">
        <v>16</v>
      </c>
      <c r="J133" s="101">
        <v>9.5</v>
      </c>
      <c r="K133" s="89">
        <v>0.1227</v>
      </c>
      <c r="L133" s="101">
        <v>0.7</v>
      </c>
      <c r="M133" s="427"/>
      <c r="N133" s="427"/>
      <c r="O133" s="427"/>
      <c r="P133" s="535"/>
    </row>
    <row r="134" spans="1:16" x14ac:dyDescent="0.25">
      <c r="A134" s="427"/>
      <c r="B134" s="439"/>
      <c r="C134" s="439"/>
      <c r="D134" s="117" t="s">
        <v>196</v>
      </c>
      <c r="E134" s="427"/>
      <c r="F134" s="87">
        <v>3.4079999999999999</v>
      </c>
      <c r="G134" s="89">
        <v>3.4079999999999999</v>
      </c>
      <c r="H134" s="427"/>
      <c r="I134" s="101" t="s">
        <v>16</v>
      </c>
      <c r="J134" s="101">
        <v>71.400000000000006</v>
      </c>
      <c r="K134" s="89">
        <v>0.96109999999999995</v>
      </c>
      <c r="L134" s="101">
        <v>3.5</v>
      </c>
      <c r="M134" s="427"/>
      <c r="N134" s="427"/>
      <c r="O134" s="427"/>
      <c r="P134" s="535"/>
    </row>
    <row r="135" spans="1:16" ht="19.5" x14ac:dyDescent="0.25">
      <c r="A135" s="101"/>
      <c r="B135" s="507" t="s">
        <v>22</v>
      </c>
      <c r="C135" s="507"/>
      <c r="D135" s="169"/>
      <c r="E135" s="47"/>
      <c r="F135" s="88">
        <f>SUM(F131:F134)</f>
        <v>43.602999999999994</v>
      </c>
      <c r="G135" s="92">
        <f>SUM(G131:G134)</f>
        <v>43.602999999999994</v>
      </c>
      <c r="H135" s="47"/>
      <c r="I135" s="47"/>
      <c r="J135" s="47"/>
      <c r="K135" s="92">
        <f>SUM(K131:K134)</f>
        <v>14.0489</v>
      </c>
      <c r="L135" s="47"/>
      <c r="M135" s="101"/>
      <c r="N135" s="101"/>
      <c r="O135" s="47"/>
      <c r="P135" s="168"/>
    </row>
    <row r="136" spans="1:16" x14ac:dyDescent="0.25">
      <c r="A136" s="427">
        <v>44</v>
      </c>
      <c r="B136" s="439" t="s">
        <v>199</v>
      </c>
      <c r="C136" s="439" t="s">
        <v>197</v>
      </c>
      <c r="D136" s="117" t="s">
        <v>198</v>
      </c>
      <c r="E136" s="427" t="s">
        <v>199</v>
      </c>
      <c r="F136" s="87">
        <v>39</v>
      </c>
      <c r="G136" s="89">
        <v>39</v>
      </c>
      <c r="H136" s="427" t="s">
        <v>1112</v>
      </c>
      <c r="I136" s="427" t="s">
        <v>16</v>
      </c>
      <c r="J136" s="101">
        <v>98400</v>
      </c>
      <c r="K136" s="89">
        <v>1.117</v>
      </c>
      <c r="L136" s="367">
        <v>7.6</v>
      </c>
      <c r="M136" s="427" t="s">
        <v>43</v>
      </c>
      <c r="N136" s="427" t="s">
        <v>21</v>
      </c>
      <c r="O136" s="427">
        <v>2018</v>
      </c>
      <c r="P136" s="535" t="s">
        <v>43</v>
      </c>
    </row>
    <row r="137" spans="1:16" x14ac:dyDescent="0.25">
      <c r="A137" s="427"/>
      <c r="B137" s="439"/>
      <c r="C137" s="439"/>
      <c r="D137" s="117" t="s">
        <v>200</v>
      </c>
      <c r="E137" s="427"/>
      <c r="F137" s="87">
        <v>0.7</v>
      </c>
      <c r="G137" s="89">
        <v>0.7</v>
      </c>
      <c r="H137" s="427"/>
      <c r="I137" s="427"/>
      <c r="J137" s="101">
        <v>41600</v>
      </c>
      <c r="K137" s="89">
        <v>0.437</v>
      </c>
      <c r="L137" s="367">
        <v>1.6</v>
      </c>
      <c r="M137" s="427"/>
      <c r="N137" s="427"/>
      <c r="O137" s="427"/>
      <c r="P137" s="535"/>
    </row>
    <row r="138" spans="1:16" x14ac:dyDescent="0.25">
      <c r="A138" s="427"/>
      <c r="B138" s="439"/>
      <c r="C138" s="439"/>
      <c r="D138" s="117" t="s">
        <v>201</v>
      </c>
      <c r="E138" s="427"/>
      <c r="F138" s="87">
        <v>13</v>
      </c>
      <c r="G138" s="89">
        <v>13</v>
      </c>
      <c r="H138" s="427"/>
      <c r="I138" s="427"/>
      <c r="J138" s="101">
        <v>89907.4</v>
      </c>
      <c r="K138" s="89">
        <v>5.51</v>
      </c>
      <c r="L138" s="367">
        <v>2.4</v>
      </c>
      <c r="M138" s="427"/>
      <c r="N138" s="427"/>
      <c r="O138" s="427"/>
      <c r="P138" s="535"/>
    </row>
    <row r="139" spans="1:16" ht="37.5" x14ac:dyDescent="0.25">
      <c r="A139" s="427"/>
      <c r="B139" s="439"/>
      <c r="C139" s="439"/>
      <c r="D139" s="117" t="s">
        <v>202</v>
      </c>
      <c r="E139" s="427"/>
      <c r="F139" s="87">
        <v>22.3</v>
      </c>
      <c r="G139" s="89">
        <v>22.3</v>
      </c>
      <c r="H139" s="427"/>
      <c r="I139" s="427"/>
      <c r="J139" s="101">
        <v>1647721</v>
      </c>
      <c r="K139" s="89">
        <v>37.402999999999999</v>
      </c>
      <c r="L139" s="367">
        <v>0.6</v>
      </c>
      <c r="M139" s="427"/>
      <c r="N139" s="427"/>
      <c r="O139" s="427"/>
      <c r="P139" s="535"/>
    </row>
    <row r="140" spans="1:16" ht="19.5" x14ac:dyDescent="0.25">
      <c r="A140" s="101"/>
      <c r="B140" s="507" t="s">
        <v>22</v>
      </c>
      <c r="C140" s="507"/>
      <c r="D140" s="169"/>
      <c r="E140" s="47"/>
      <c r="F140" s="88">
        <f>SUM(F136:F139)</f>
        <v>75</v>
      </c>
      <c r="G140" s="92">
        <f>SUM(G136:G139)</f>
        <v>75</v>
      </c>
      <c r="H140" s="47"/>
      <c r="I140" s="47"/>
      <c r="J140" s="47"/>
      <c r="K140" s="92">
        <f>SUM(K136:K139)</f>
        <v>44.466999999999999</v>
      </c>
      <c r="L140" s="47"/>
      <c r="M140" s="101"/>
      <c r="N140" s="101"/>
      <c r="O140" s="47"/>
      <c r="P140" s="168"/>
    </row>
    <row r="141" spans="1:16" x14ac:dyDescent="0.25">
      <c r="A141" s="427">
        <v>45</v>
      </c>
      <c r="B141" s="439" t="s">
        <v>205</v>
      </c>
      <c r="C141" s="439" t="s">
        <v>203</v>
      </c>
      <c r="D141" s="117" t="s">
        <v>204</v>
      </c>
      <c r="E141" s="427" t="s">
        <v>205</v>
      </c>
      <c r="F141" s="87">
        <v>574.49300000000005</v>
      </c>
      <c r="G141" s="89">
        <v>574.49300000000005</v>
      </c>
      <c r="H141" s="427" t="s">
        <v>1112</v>
      </c>
      <c r="I141" s="101" t="s">
        <v>16</v>
      </c>
      <c r="J141" s="101">
        <v>12750400</v>
      </c>
      <c r="K141" s="89">
        <v>228.10499999999999</v>
      </c>
      <c r="L141" s="367">
        <v>2.6</v>
      </c>
      <c r="M141" s="427" t="s">
        <v>517</v>
      </c>
      <c r="N141" s="427" t="s">
        <v>21</v>
      </c>
      <c r="O141" s="427">
        <v>2018</v>
      </c>
      <c r="P141" s="535" t="s">
        <v>517</v>
      </c>
    </row>
    <row r="142" spans="1:16" x14ac:dyDescent="0.25">
      <c r="A142" s="427"/>
      <c r="B142" s="439"/>
      <c r="C142" s="439"/>
      <c r="D142" s="117" t="s">
        <v>206</v>
      </c>
      <c r="E142" s="427"/>
      <c r="F142" s="87">
        <v>204.91499999999999</v>
      </c>
      <c r="G142" s="89">
        <v>204.91499999999999</v>
      </c>
      <c r="H142" s="427"/>
      <c r="I142" s="101" t="s">
        <v>16</v>
      </c>
      <c r="J142" s="101">
        <v>435060</v>
      </c>
      <c r="K142" s="89">
        <v>7.7830000000000004</v>
      </c>
      <c r="L142" s="367">
        <v>26</v>
      </c>
      <c r="M142" s="427"/>
      <c r="N142" s="427"/>
      <c r="O142" s="427"/>
      <c r="P142" s="535"/>
    </row>
    <row r="143" spans="1:16" ht="37.5" x14ac:dyDescent="0.25">
      <c r="A143" s="427"/>
      <c r="B143" s="439"/>
      <c r="C143" s="439"/>
      <c r="D143" s="117" t="s">
        <v>207</v>
      </c>
      <c r="E143" s="427"/>
      <c r="F143" s="87">
        <v>63.078000000000003</v>
      </c>
      <c r="G143" s="89">
        <v>63.078000000000003</v>
      </c>
      <c r="H143" s="427"/>
      <c r="I143" s="101" t="s">
        <v>208</v>
      </c>
      <c r="J143" s="101">
        <v>100076.2</v>
      </c>
      <c r="K143" s="89">
        <v>17.417000000000002</v>
      </c>
      <c r="L143" s="367">
        <v>3.5</v>
      </c>
      <c r="M143" s="427"/>
      <c r="N143" s="427"/>
      <c r="O143" s="427"/>
      <c r="P143" s="535"/>
    </row>
    <row r="144" spans="1:16" x14ac:dyDescent="0.25">
      <c r="A144" s="427"/>
      <c r="B144" s="439"/>
      <c r="C144" s="439"/>
      <c r="D144" s="117" t="s">
        <v>209</v>
      </c>
      <c r="E144" s="427"/>
      <c r="F144" s="87">
        <v>620</v>
      </c>
      <c r="G144" s="89">
        <v>620</v>
      </c>
      <c r="H144" s="427"/>
      <c r="I144" s="101" t="s">
        <v>16</v>
      </c>
      <c r="J144" s="101">
        <v>13663100</v>
      </c>
      <c r="K144" s="89">
        <v>244.43299999999999</v>
      </c>
      <c r="L144" s="367">
        <v>2.5</v>
      </c>
      <c r="M144" s="427"/>
      <c r="N144" s="427"/>
      <c r="O144" s="427"/>
      <c r="P144" s="535"/>
    </row>
    <row r="145" spans="1:16" ht="37.5" x14ac:dyDescent="0.25">
      <c r="A145" s="427"/>
      <c r="B145" s="439"/>
      <c r="C145" s="439"/>
      <c r="D145" s="117" t="s">
        <v>210</v>
      </c>
      <c r="E145" s="427"/>
      <c r="F145" s="87">
        <v>1030</v>
      </c>
      <c r="G145" s="89">
        <v>1030</v>
      </c>
      <c r="H145" s="427"/>
      <c r="I145" s="101" t="s">
        <v>16</v>
      </c>
      <c r="J145" s="101">
        <v>40000000</v>
      </c>
      <c r="K145" s="89">
        <v>715.6</v>
      </c>
      <c r="L145" s="367">
        <v>1.4</v>
      </c>
      <c r="M145" s="427"/>
      <c r="N145" s="427"/>
      <c r="O145" s="427"/>
      <c r="P145" s="535"/>
    </row>
    <row r="146" spans="1:16" ht="37.5" x14ac:dyDescent="0.25">
      <c r="A146" s="427"/>
      <c r="B146" s="439"/>
      <c r="C146" s="439"/>
      <c r="D146" s="117" t="s">
        <v>211</v>
      </c>
      <c r="E146" s="427"/>
      <c r="F146" s="87">
        <v>28</v>
      </c>
      <c r="G146" s="89">
        <v>28</v>
      </c>
      <c r="H146" s="427"/>
      <c r="I146" s="101" t="s">
        <v>37</v>
      </c>
      <c r="J146" s="101">
        <v>12878</v>
      </c>
      <c r="K146" s="89">
        <v>25.8</v>
      </c>
      <c r="L146" s="367">
        <v>1</v>
      </c>
      <c r="M146" s="427"/>
      <c r="N146" s="427"/>
      <c r="O146" s="427"/>
      <c r="P146" s="535"/>
    </row>
    <row r="147" spans="1:16" x14ac:dyDescent="0.25">
      <c r="A147" s="427"/>
      <c r="B147" s="439"/>
      <c r="C147" s="439"/>
      <c r="D147" s="117" t="s">
        <v>212</v>
      </c>
      <c r="E147" s="427"/>
      <c r="F147" s="87">
        <v>75</v>
      </c>
      <c r="G147" s="89">
        <v>75</v>
      </c>
      <c r="H147" s="427"/>
      <c r="I147" s="101" t="s">
        <v>16</v>
      </c>
      <c r="J147" s="101">
        <v>655200</v>
      </c>
      <c r="K147" s="89">
        <v>11.722</v>
      </c>
      <c r="L147" s="367">
        <v>6.5</v>
      </c>
      <c r="M147" s="427"/>
      <c r="N147" s="427"/>
      <c r="O147" s="427"/>
      <c r="P147" s="535"/>
    </row>
    <row r="148" spans="1:16" ht="37.5" x14ac:dyDescent="0.25">
      <c r="A148" s="427"/>
      <c r="B148" s="439"/>
      <c r="C148" s="439"/>
      <c r="D148" s="117" t="s">
        <v>213</v>
      </c>
      <c r="E148" s="427"/>
      <c r="F148" s="87">
        <v>818.8</v>
      </c>
      <c r="G148" s="89">
        <v>818.8</v>
      </c>
      <c r="H148" s="427"/>
      <c r="I148" s="101" t="s">
        <v>16</v>
      </c>
      <c r="J148" s="101">
        <v>28496</v>
      </c>
      <c r="K148" s="89">
        <v>509.791</v>
      </c>
      <c r="L148" s="367">
        <v>1.6</v>
      </c>
      <c r="M148" s="427"/>
      <c r="N148" s="427"/>
      <c r="O148" s="427"/>
      <c r="P148" s="535"/>
    </row>
    <row r="149" spans="1:16" ht="37.5" x14ac:dyDescent="0.25">
      <c r="A149" s="427"/>
      <c r="B149" s="439"/>
      <c r="C149" s="439"/>
      <c r="D149" s="117" t="s">
        <v>214</v>
      </c>
      <c r="E149" s="427"/>
      <c r="F149" s="87">
        <v>200</v>
      </c>
      <c r="G149" s="89">
        <v>200</v>
      </c>
      <c r="H149" s="427"/>
      <c r="I149" s="101" t="s">
        <v>16</v>
      </c>
      <c r="J149" s="101">
        <v>6991000</v>
      </c>
      <c r="K149" s="89">
        <v>164.84800000000001</v>
      </c>
      <c r="L149" s="367">
        <v>1.3</v>
      </c>
      <c r="M149" s="427"/>
      <c r="N149" s="427"/>
      <c r="O149" s="427"/>
      <c r="P149" s="535"/>
    </row>
    <row r="150" spans="1:16" ht="19.5" x14ac:dyDescent="0.25">
      <c r="A150" s="101"/>
      <c r="B150" s="507" t="s">
        <v>22</v>
      </c>
      <c r="C150" s="507"/>
      <c r="D150" s="169"/>
      <c r="E150" s="47"/>
      <c r="F150" s="88">
        <f>SUM(F141:F149)</f>
        <v>3614.2860000000001</v>
      </c>
      <c r="G150" s="92">
        <f>SUM(G141:G149)</f>
        <v>3614.2860000000001</v>
      </c>
      <c r="H150" s="47"/>
      <c r="I150" s="47"/>
      <c r="J150" s="47"/>
      <c r="K150" s="92">
        <f>SUM(K141:K149)</f>
        <v>1925.4989999999998</v>
      </c>
      <c r="L150" s="47"/>
      <c r="M150" s="101"/>
      <c r="N150" s="101"/>
      <c r="O150" s="47"/>
      <c r="P150" s="168"/>
    </row>
    <row r="151" spans="1:16" ht="37.5" x14ac:dyDescent="0.25">
      <c r="A151" s="427">
        <v>46</v>
      </c>
      <c r="B151" s="439" t="s">
        <v>217</v>
      </c>
      <c r="C151" s="439" t="s">
        <v>215</v>
      </c>
      <c r="D151" s="117" t="s">
        <v>216</v>
      </c>
      <c r="E151" s="427" t="s">
        <v>217</v>
      </c>
      <c r="F151" s="87">
        <v>790.62599999999998</v>
      </c>
      <c r="G151" s="89">
        <v>790.62599999999998</v>
      </c>
      <c r="H151" s="427" t="s">
        <v>1112</v>
      </c>
      <c r="I151" s="101" t="s">
        <v>16</v>
      </c>
      <c r="J151" s="101">
        <v>4289829</v>
      </c>
      <c r="K151" s="89">
        <v>95.278000000000006</v>
      </c>
      <c r="L151" s="367">
        <v>3.4</v>
      </c>
      <c r="M151" s="427" t="s">
        <v>1081</v>
      </c>
      <c r="N151" s="427" t="s">
        <v>21</v>
      </c>
      <c r="O151" s="427">
        <v>2018</v>
      </c>
      <c r="P151" s="535" t="s">
        <v>1081</v>
      </c>
    </row>
    <row r="152" spans="1:16" x14ac:dyDescent="0.25">
      <c r="A152" s="427"/>
      <c r="B152" s="439"/>
      <c r="C152" s="439"/>
      <c r="D152" s="117" t="s">
        <v>219</v>
      </c>
      <c r="E152" s="427"/>
      <c r="F152" s="87">
        <v>20.48</v>
      </c>
      <c r="G152" s="89">
        <v>20.48</v>
      </c>
      <c r="H152" s="427"/>
      <c r="I152" s="101" t="s">
        <v>220</v>
      </c>
      <c r="J152" s="101">
        <v>48240.6</v>
      </c>
      <c r="K152" s="89">
        <v>13.241</v>
      </c>
      <c r="L152" s="367">
        <v>1.5</v>
      </c>
      <c r="M152" s="427"/>
      <c r="N152" s="427"/>
      <c r="O152" s="427"/>
      <c r="P152" s="535"/>
    </row>
    <row r="153" spans="1:16" x14ac:dyDescent="0.25">
      <c r="A153" s="427"/>
      <c r="B153" s="439"/>
      <c r="C153" s="439"/>
      <c r="D153" s="117" t="s">
        <v>221</v>
      </c>
      <c r="E153" s="427"/>
      <c r="F153" s="87">
        <v>11.589</v>
      </c>
      <c r="G153" s="89">
        <v>11.589</v>
      </c>
      <c r="H153" s="427"/>
      <c r="I153" s="101" t="s">
        <v>208</v>
      </c>
      <c r="J153" s="101">
        <v>43200</v>
      </c>
      <c r="K153" s="89">
        <v>5.4359999999999999</v>
      </c>
      <c r="L153" s="367">
        <v>2</v>
      </c>
      <c r="M153" s="427"/>
      <c r="N153" s="427"/>
      <c r="O153" s="427"/>
      <c r="P153" s="535"/>
    </row>
    <row r="154" spans="1:16" ht="19.5" x14ac:dyDescent="0.25">
      <c r="A154" s="101"/>
      <c r="B154" s="507" t="s">
        <v>22</v>
      </c>
      <c r="C154" s="507"/>
      <c r="D154" s="169"/>
      <c r="E154" s="47"/>
      <c r="F154" s="88">
        <f>SUM(F151:F153)</f>
        <v>822.69500000000005</v>
      </c>
      <c r="G154" s="92">
        <f>SUM(G151:G153)</f>
        <v>822.69500000000005</v>
      </c>
      <c r="H154" s="47"/>
      <c r="I154" s="47"/>
      <c r="J154" s="47"/>
      <c r="K154" s="92">
        <f>SUM(K151:K153)</f>
        <v>113.95500000000001</v>
      </c>
      <c r="L154" s="47"/>
      <c r="M154" s="101"/>
      <c r="N154" s="101"/>
      <c r="O154" s="47"/>
      <c r="P154" s="168"/>
    </row>
    <row r="155" spans="1:16" x14ac:dyDescent="0.25">
      <c r="A155" s="101">
        <v>47</v>
      </c>
      <c r="B155" s="117" t="s">
        <v>171</v>
      </c>
      <c r="C155" s="117" t="s">
        <v>222</v>
      </c>
      <c r="D155" s="117" t="s">
        <v>223</v>
      </c>
      <c r="E155" s="101" t="s">
        <v>224</v>
      </c>
      <c r="F155" s="87">
        <v>53</v>
      </c>
      <c r="G155" s="89">
        <v>53</v>
      </c>
      <c r="H155" s="101" t="s">
        <v>428</v>
      </c>
      <c r="I155" s="101" t="s">
        <v>16</v>
      </c>
      <c r="J155" s="101">
        <v>2915000</v>
      </c>
      <c r="K155" s="89">
        <v>46.115000000000002</v>
      </c>
      <c r="L155" s="101">
        <v>1.1000000000000001</v>
      </c>
      <c r="M155" s="101" t="s">
        <v>27</v>
      </c>
      <c r="N155" s="101" t="s">
        <v>21</v>
      </c>
      <c r="O155" s="101">
        <v>2018</v>
      </c>
      <c r="P155" s="168" t="s">
        <v>27</v>
      </c>
    </row>
    <row r="156" spans="1:16" ht="19.5" x14ac:dyDescent="0.25">
      <c r="A156" s="101"/>
      <c r="B156" s="507" t="s">
        <v>22</v>
      </c>
      <c r="C156" s="507"/>
      <c r="D156" s="169"/>
      <c r="E156" s="47"/>
      <c r="F156" s="88">
        <f>SUM(F155)</f>
        <v>53</v>
      </c>
      <c r="G156" s="92">
        <f>SUM(G155)</f>
        <v>53</v>
      </c>
      <c r="H156" s="47"/>
      <c r="I156" s="47"/>
      <c r="J156" s="47"/>
      <c r="K156" s="92">
        <f>SUM(K155)</f>
        <v>46.115000000000002</v>
      </c>
      <c r="L156" s="47"/>
      <c r="M156" s="101"/>
      <c r="N156" s="101"/>
      <c r="O156" s="47"/>
      <c r="P156" s="168"/>
    </row>
    <row r="157" spans="1:16" ht="56.25" x14ac:dyDescent="0.25">
      <c r="A157" s="101">
        <v>48</v>
      </c>
      <c r="B157" s="117" t="s">
        <v>228</v>
      </c>
      <c r="C157" s="117" t="s">
        <v>226</v>
      </c>
      <c r="D157" s="117" t="s">
        <v>1619</v>
      </c>
      <c r="E157" s="101" t="s">
        <v>228</v>
      </c>
      <c r="F157" s="87">
        <v>5.0659000000000001</v>
      </c>
      <c r="G157" s="89">
        <v>5.0659000000000001</v>
      </c>
      <c r="H157" s="101" t="s">
        <v>1112</v>
      </c>
      <c r="I157" s="101" t="s">
        <v>16</v>
      </c>
      <c r="J157" s="101">
        <v>160180</v>
      </c>
      <c r="K157" s="89">
        <v>3.0701999999999998</v>
      </c>
      <c r="L157" s="101">
        <v>1.6</v>
      </c>
      <c r="M157" s="101" t="s">
        <v>438</v>
      </c>
      <c r="N157" s="101" t="s">
        <v>21</v>
      </c>
      <c r="O157" s="101">
        <v>2018</v>
      </c>
      <c r="P157" s="168" t="s">
        <v>438</v>
      </c>
    </row>
    <row r="158" spans="1:16" ht="19.5" x14ac:dyDescent="0.25">
      <c r="A158" s="101"/>
      <c r="B158" s="507" t="s">
        <v>22</v>
      </c>
      <c r="C158" s="507"/>
      <c r="D158" s="169"/>
      <c r="E158" s="47"/>
      <c r="F158" s="88">
        <f>SUM(F157)</f>
        <v>5.0659000000000001</v>
      </c>
      <c r="G158" s="92">
        <f>SUM(G157)</f>
        <v>5.0659000000000001</v>
      </c>
      <c r="H158" s="47"/>
      <c r="I158" s="47"/>
      <c r="J158" s="47"/>
      <c r="K158" s="92">
        <f>SUM(K157)</f>
        <v>3.0701999999999998</v>
      </c>
      <c r="L158" s="47"/>
      <c r="M158" s="101"/>
      <c r="N158" s="101"/>
      <c r="O158" s="47"/>
      <c r="P158" s="168"/>
    </row>
    <row r="159" spans="1:16" ht="37.5" x14ac:dyDescent="0.25">
      <c r="A159" s="101">
        <v>49</v>
      </c>
      <c r="B159" s="117" t="s">
        <v>231</v>
      </c>
      <c r="C159" s="117" t="s">
        <v>229</v>
      </c>
      <c r="D159" s="117" t="s">
        <v>230</v>
      </c>
      <c r="E159" s="101" t="s">
        <v>231</v>
      </c>
      <c r="F159" s="87">
        <v>22.5</v>
      </c>
      <c r="G159" s="89">
        <v>22.5</v>
      </c>
      <c r="H159" s="101" t="s">
        <v>1112</v>
      </c>
      <c r="I159" s="101" t="s">
        <v>16</v>
      </c>
      <c r="J159" s="101">
        <v>592130</v>
      </c>
      <c r="K159" s="89">
        <v>7.0940000000000003</v>
      </c>
      <c r="L159" s="101">
        <v>3.17</v>
      </c>
      <c r="M159" s="101" t="s">
        <v>1081</v>
      </c>
      <c r="N159" s="101" t="s">
        <v>21</v>
      </c>
      <c r="O159" s="101">
        <v>2018</v>
      </c>
      <c r="P159" s="168" t="s">
        <v>1081</v>
      </c>
    </row>
    <row r="160" spans="1:16" ht="19.5" x14ac:dyDescent="0.25">
      <c r="A160" s="101"/>
      <c r="B160" s="507" t="s">
        <v>22</v>
      </c>
      <c r="C160" s="507"/>
      <c r="D160" s="169"/>
      <c r="E160" s="47"/>
      <c r="F160" s="88">
        <f>SUM(F159)</f>
        <v>22.5</v>
      </c>
      <c r="G160" s="92">
        <f>SUM(G159)</f>
        <v>22.5</v>
      </c>
      <c r="H160" s="47"/>
      <c r="I160" s="47"/>
      <c r="J160" s="47"/>
      <c r="K160" s="92">
        <f>SUM(K159)</f>
        <v>7.0940000000000003</v>
      </c>
      <c r="L160" s="47"/>
      <c r="M160" s="101"/>
      <c r="N160" s="101"/>
      <c r="O160" s="47"/>
      <c r="P160" s="168"/>
    </row>
    <row r="161" spans="1:16" x14ac:dyDescent="0.25">
      <c r="A161" s="427">
        <v>50</v>
      </c>
      <c r="B161" s="439" t="s">
        <v>234</v>
      </c>
      <c r="C161" s="439" t="s">
        <v>232</v>
      </c>
      <c r="D161" s="117" t="s">
        <v>233</v>
      </c>
      <c r="E161" s="427" t="s">
        <v>234</v>
      </c>
      <c r="F161" s="87">
        <v>3.3889999999999998</v>
      </c>
      <c r="G161" s="89">
        <v>3.3889999999999998</v>
      </c>
      <c r="H161" s="427" t="s">
        <v>1112</v>
      </c>
      <c r="I161" s="101" t="s">
        <v>16</v>
      </c>
      <c r="J161" s="101">
        <v>400000</v>
      </c>
      <c r="K161" s="89">
        <v>1.24089</v>
      </c>
      <c r="L161" s="101">
        <v>2.6</v>
      </c>
      <c r="M161" s="427" t="s">
        <v>499</v>
      </c>
      <c r="N161" s="427" t="s">
        <v>21</v>
      </c>
      <c r="O161" s="427">
        <v>2018</v>
      </c>
      <c r="P161" s="535" t="s">
        <v>499</v>
      </c>
    </row>
    <row r="162" spans="1:16" x14ac:dyDescent="0.25">
      <c r="A162" s="427"/>
      <c r="B162" s="439"/>
      <c r="C162" s="439"/>
      <c r="D162" s="439" t="s">
        <v>235</v>
      </c>
      <c r="E162" s="427"/>
      <c r="F162" s="530">
        <v>948.65</v>
      </c>
      <c r="G162" s="520">
        <v>948.65</v>
      </c>
      <c r="H162" s="427"/>
      <c r="I162" s="101" t="s">
        <v>16</v>
      </c>
      <c r="J162" s="101">
        <v>2736800</v>
      </c>
      <c r="K162" s="89">
        <v>8.4730000000000008</v>
      </c>
      <c r="L162" s="427">
        <v>5.3</v>
      </c>
      <c r="M162" s="427"/>
      <c r="N162" s="427"/>
      <c r="O162" s="427"/>
      <c r="P162" s="535"/>
    </row>
    <row r="163" spans="1:16" x14ac:dyDescent="0.25">
      <c r="A163" s="427"/>
      <c r="B163" s="439"/>
      <c r="C163" s="439"/>
      <c r="D163" s="439"/>
      <c r="E163" s="427"/>
      <c r="F163" s="530"/>
      <c r="G163" s="520"/>
      <c r="H163" s="427"/>
      <c r="I163" s="101" t="s">
        <v>236</v>
      </c>
      <c r="J163" s="101">
        <v>799040</v>
      </c>
      <c r="K163" s="89">
        <v>167.39500000000001</v>
      </c>
      <c r="L163" s="427"/>
      <c r="M163" s="427"/>
      <c r="N163" s="427"/>
      <c r="O163" s="427"/>
      <c r="P163" s="535"/>
    </row>
    <row r="164" spans="1:16" ht="19.5" x14ac:dyDescent="0.25">
      <c r="A164" s="101"/>
      <c r="B164" s="507" t="s">
        <v>22</v>
      </c>
      <c r="C164" s="507"/>
      <c r="D164" s="169"/>
      <c r="E164" s="47"/>
      <c r="F164" s="88">
        <f>SUM(F161:F163)</f>
        <v>952.03899999999999</v>
      </c>
      <c r="G164" s="92">
        <f>SUM(G161:G163)</f>
        <v>952.03899999999999</v>
      </c>
      <c r="H164" s="47"/>
      <c r="I164" s="47"/>
      <c r="J164" s="47"/>
      <c r="K164" s="92">
        <f>SUM(K161:K163)</f>
        <v>177.10889</v>
      </c>
      <c r="L164" s="47"/>
      <c r="M164" s="101"/>
      <c r="N164" s="101"/>
      <c r="O164" s="47"/>
      <c r="P164" s="168"/>
    </row>
    <row r="165" spans="1:16" ht="37.5" x14ac:dyDescent="0.25">
      <c r="A165" s="101">
        <v>51</v>
      </c>
      <c r="B165" s="117" t="s">
        <v>239</v>
      </c>
      <c r="C165" s="117" t="s">
        <v>237</v>
      </c>
      <c r="D165" s="117" t="s">
        <v>238</v>
      </c>
      <c r="E165" s="101" t="s">
        <v>239</v>
      </c>
      <c r="F165" s="87">
        <v>6.5183999999999997</v>
      </c>
      <c r="G165" s="89">
        <v>6.5183999999999997</v>
      </c>
      <c r="H165" s="101" t="s">
        <v>1112</v>
      </c>
      <c r="I165" s="101" t="s">
        <v>16</v>
      </c>
      <c r="J165" s="101">
        <v>383423</v>
      </c>
      <c r="K165" s="89">
        <v>6.5182000000000002</v>
      </c>
      <c r="L165" s="101">
        <v>1</v>
      </c>
      <c r="M165" s="101" t="s">
        <v>20</v>
      </c>
      <c r="N165" s="101" t="s">
        <v>21</v>
      </c>
      <c r="O165" s="101">
        <v>2018</v>
      </c>
      <c r="P165" s="168" t="s">
        <v>20</v>
      </c>
    </row>
    <row r="166" spans="1:16" ht="19.5" x14ac:dyDescent="0.25">
      <c r="A166" s="101"/>
      <c r="B166" s="507" t="s">
        <v>22</v>
      </c>
      <c r="C166" s="507"/>
      <c r="D166" s="169"/>
      <c r="E166" s="47"/>
      <c r="F166" s="88">
        <f>SUM(F165)</f>
        <v>6.5183999999999997</v>
      </c>
      <c r="G166" s="92">
        <f>SUM(G165)</f>
        <v>6.5183999999999997</v>
      </c>
      <c r="H166" s="47"/>
      <c r="I166" s="47"/>
      <c r="J166" s="47"/>
      <c r="K166" s="92">
        <f>SUM(K165)</f>
        <v>6.5182000000000002</v>
      </c>
      <c r="L166" s="47"/>
      <c r="M166" s="101"/>
      <c r="N166" s="101"/>
      <c r="O166" s="47"/>
      <c r="P166" s="168"/>
    </row>
    <row r="167" spans="1:16" x14ac:dyDescent="0.25">
      <c r="A167" s="427">
        <v>52</v>
      </c>
      <c r="B167" s="439" t="s">
        <v>241</v>
      </c>
      <c r="C167" s="439" t="s">
        <v>1618</v>
      </c>
      <c r="D167" s="117" t="s">
        <v>148</v>
      </c>
      <c r="E167" s="427" t="s">
        <v>241</v>
      </c>
      <c r="F167" s="87">
        <v>0.64400000000000002</v>
      </c>
      <c r="G167" s="89">
        <v>0.64400000000000002</v>
      </c>
      <c r="H167" s="427" t="s">
        <v>1112</v>
      </c>
      <c r="I167" s="101" t="s">
        <v>16</v>
      </c>
      <c r="J167" s="101">
        <v>1302</v>
      </c>
      <c r="K167" s="89">
        <v>0.23799999999999999</v>
      </c>
      <c r="L167" s="101">
        <v>2.7</v>
      </c>
      <c r="M167" s="427" t="s">
        <v>492</v>
      </c>
      <c r="N167" s="427" t="s">
        <v>21</v>
      </c>
      <c r="O167" s="427">
        <v>2018</v>
      </c>
      <c r="P167" s="535" t="s">
        <v>492</v>
      </c>
    </row>
    <row r="168" spans="1:16" ht="37.5" x14ac:dyDescent="0.25">
      <c r="A168" s="427"/>
      <c r="B168" s="439"/>
      <c r="C168" s="439"/>
      <c r="D168" s="117" t="s">
        <v>242</v>
      </c>
      <c r="E168" s="427"/>
      <c r="F168" s="87">
        <v>5.58</v>
      </c>
      <c r="G168" s="89">
        <v>5.58</v>
      </c>
      <c r="H168" s="427"/>
      <c r="I168" s="101" t="s">
        <v>16</v>
      </c>
      <c r="J168" s="101">
        <v>45713</v>
      </c>
      <c r="K168" s="89">
        <v>0.83699999999999997</v>
      </c>
      <c r="L168" s="101">
        <v>6.6</v>
      </c>
      <c r="M168" s="427"/>
      <c r="N168" s="427"/>
      <c r="O168" s="427"/>
      <c r="P168" s="535"/>
    </row>
    <row r="169" spans="1:16" ht="19.5" x14ac:dyDescent="0.25">
      <c r="A169" s="101"/>
      <c r="B169" s="507" t="s">
        <v>22</v>
      </c>
      <c r="C169" s="507"/>
      <c r="D169" s="169"/>
      <c r="E169" s="47"/>
      <c r="F169" s="88">
        <f>SUM(F167:F168)</f>
        <v>6.2240000000000002</v>
      </c>
      <c r="G169" s="92">
        <f>SUM(G167:G168)</f>
        <v>6.2240000000000002</v>
      </c>
      <c r="H169" s="47"/>
      <c r="I169" s="47"/>
      <c r="J169" s="47"/>
      <c r="K169" s="92">
        <f>SUM(K167:K168)</f>
        <v>1.075</v>
      </c>
      <c r="L169" s="47"/>
      <c r="M169" s="101"/>
      <c r="N169" s="101"/>
      <c r="O169" s="47"/>
      <c r="P169" s="168"/>
    </row>
    <row r="170" spans="1:16" ht="25.35" customHeight="1" x14ac:dyDescent="0.25">
      <c r="A170" s="427">
        <v>53</v>
      </c>
      <c r="B170" s="439" t="s">
        <v>245</v>
      </c>
      <c r="C170" s="439" t="s">
        <v>243</v>
      </c>
      <c r="D170" s="117" t="s">
        <v>244</v>
      </c>
      <c r="E170" s="427" t="s">
        <v>245</v>
      </c>
      <c r="F170" s="87">
        <v>5.4249999999999998</v>
      </c>
      <c r="G170" s="89">
        <v>5.4249999999999998</v>
      </c>
      <c r="H170" s="427" t="s">
        <v>1302</v>
      </c>
      <c r="I170" s="101" t="s">
        <v>37</v>
      </c>
      <c r="J170" s="101">
        <v>162.72</v>
      </c>
      <c r="K170" s="89">
        <v>0.84899999999999998</v>
      </c>
      <c r="L170" s="101">
        <v>6.39</v>
      </c>
      <c r="M170" s="427" t="s">
        <v>499</v>
      </c>
      <c r="N170" s="427" t="s">
        <v>21</v>
      </c>
      <c r="O170" s="427">
        <v>2018</v>
      </c>
      <c r="P170" s="535" t="s">
        <v>499</v>
      </c>
    </row>
    <row r="171" spans="1:16" ht="93.75" x14ac:dyDescent="0.25">
      <c r="A171" s="427"/>
      <c r="B171" s="439"/>
      <c r="C171" s="439"/>
      <c r="D171" s="117" t="s">
        <v>248</v>
      </c>
      <c r="E171" s="427"/>
      <c r="F171" s="87">
        <v>12.648</v>
      </c>
      <c r="G171" s="89">
        <v>12.648</v>
      </c>
      <c r="H171" s="427"/>
      <c r="I171" s="101" t="s">
        <v>37</v>
      </c>
      <c r="J171" s="101">
        <v>363.54</v>
      </c>
      <c r="K171" s="89">
        <v>1.897</v>
      </c>
      <c r="L171" s="101">
        <v>6.7</v>
      </c>
      <c r="M171" s="427"/>
      <c r="N171" s="427"/>
      <c r="O171" s="427"/>
      <c r="P171" s="535"/>
    </row>
    <row r="172" spans="1:16" x14ac:dyDescent="0.25">
      <c r="A172" s="427"/>
      <c r="B172" s="439"/>
      <c r="C172" s="439"/>
      <c r="D172" s="117" t="s">
        <v>249</v>
      </c>
      <c r="E172" s="427"/>
      <c r="F172" s="87">
        <v>23.367999999999999</v>
      </c>
      <c r="G172" s="89">
        <v>23.367999999999999</v>
      </c>
      <c r="H172" s="427"/>
      <c r="I172" s="101" t="s">
        <v>16</v>
      </c>
      <c r="J172" s="101">
        <v>286727.59999999998</v>
      </c>
      <c r="K172" s="89">
        <v>4.673</v>
      </c>
      <c r="L172" s="101">
        <v>5</v>
      </c>
      <c r="M172" s="427"/>
      <c r="N172" s="427"/>
      <c r="O172" s="427"/>
      <c r="P172" s="535"/>
    </row>
    <row r="173" spans="1:16" ht="19.5" x14ac:dyDescent="0.25">
      <c r="A173" s="101"/>
      <c r="B173" s="507" t="s">
        <v>22</v>
      </c>
      <c r="C173" s="507"/>
      <c r="D173" s="169"/>
      <c r="E173" s="47"/>
      <c r="F173" s="88">
        <f>SUM(F170:F172)</f>
        <v>41.441000000000003</v>
      </c>
      <c r="G173" s="92">
        <f>SUM(G170:G172)</f>
        <v>41.441000000000003</v>
      </c>
      <c r="H173" s="47"/>
      <c r="I173" s="47"/>
      <c r="J173" s="47"/>
      <c r="K173" s="92">
        <f>SUM(K170:K172)</f>
        <v>7.4190000000000005</v>
      </c>
      <c r="L173" s="47"/>
      <c r="M173" s="101"/>
      <c r="N173" s="101"/>
      <c r="O173" s="47"/>
      <c r="P173" s="168"/>
    </row>
    <row r="174" spans="1:16" x14ac:dyDescent="0.25">
      <c r="A174" s="101">
        <v>54</v>
      </c>
      <c r="B174" s="117" t="s">
        <v>252</v>
      </c>
      <c r="C174" s="117" t="s">
        <v>250</v>
      </c>
      <c r="D174" s="117" t="s">
        <v>251</v>
      </c>
      <c r="E174" s="101" t="s">
        <v>252</v>
      </c>
      <c r="F174" s="87">
        <v>1.3380000000000001</v>
      </c>
      <c r="G174" s="89">
        <v>1.3380000000000001</v>
      </c>
      <c r="H174" s="101" t="s">
        <v>1112</v>
      </c>
      <c r="I174" s="101" t="s">
        <v>16</v>
      </c>
      <c r="J174" s="101">
        <v>49464</v>
      </c>
      <c r="K174" s="89">
        <v>0.83199999999999996</v>
      </c>
      <c r="L174" s="101">
        <v>1.7</v>
      </c>
      <c r="M174" s="101" t="s">
        <v>438</v>
      </c>
      <c r="N174" s="101" t="s">
        <v>21</v>
      </c>
      <c r="O174" s="101">
        <v>2018</v>
      </c>
      <c r="P174" s="168" t="s">
        <v>438</v>
      </c>
    </row>
    <row r="175" spans="1:16" ht="19.5" x14ac:dyDescent="0.25">
      <c r="A175" s="101"/>
      <c r="B175" s="507" t="s">
        <v>22</v>
      </c>
      <c r="C175" s="507"/>
      <c r="D175" s="169"/>
      <c r="E175" s="47"/>
      <c r="F175" s="88">
        <v>1.3380000000000001</v>
      </c>
      <c r="G175" s="92">
        <v>1.3380000000000001</v>
      </c>
      <c r="H175" s="47"/>
      <c r="I175" s="47"/>
      <c r="J175" s="47"/>
      <c r="K175" s="92">
        <f>SUM(K174)</f>
        <v>0.83199999999999996</v>
      </c>
      <c r="L175" s="47"/>
      <c r="M175" s="101"/>
      <c r="N175" s="101"/>
      <c r="O175" s="47"/>
      <c r="P175" s="168"/>
    </row>
    <row r="176" spans="1:16" x14ac:dyDescent="0.25">
      <c r="A176" s="427">
        <v>55</v>
      </c>
      <c r="B176" s="439" t="s">
        <v>255</v>
      </c>
      <c r="C176" s="439" t="s">
        <v>253</v>
      </c>
      <c r="D176" s="117" t="s">
        <v>254</v>
      </c>
      <c r="E176" s="427" t="s">
        <v>255</v>
      </c>
      <c r="F176" s="87">
        <v>0.433</v>
      </c>
      <c r="G176" s="89">
        <v>0.433</v>
      </c>
      <c r="H176" s="427" t="s">
        <v>1112</v>
      </c>
      <c r="I176" s="101" t="s">
        <v>16</v>
      </c>
      <c r="J176" s="101">
        <v>26765</v>
      </c>
      <c r="K176" s="89">
        <v>0.222</v>
      </c>
      <c r="L176" s="101">
        <v>2</v>
      </c>
      <c r="M176" s="427" t="s">
        <v>438</v>
      </c>
      <c r="N176" s="427" t="s">
        <v>21</v>
      </c>
      <c r="O176" s="427">
        <v>2018</v>
      </c>
      <c r="P176" s="535" t="s">
        <v>438</v>
      </c>
    </row>
    <row r="177" spans="1:16" x14ac:dyDescent="0.25">
      <c r="A177" s="427"/>
      <c r="B177" s="439"/>
      <c r="C177" s="439"/>
      <c r="D177" s="117" t="s">
        <v>256</v>
      </c>
      <c r="E177" s="427"/>
      <c r="F177" s="87">
        <v>6.5000000000000002E-2</v>
      </c>
      <c r="G177" s="89">
        <v>6.5000000000000002E-2</v>
      </c>
      <c r="H177" s="427"/>
      <c r="I177" s="101" t="s">
        <v>37</v>
      </c>
      <c r="J177" s="101">
        <v>4.4889999999999999</v>
      </c>
      <c r="K177" s="89">
        <v>3.5999999999999997E-2</v>
      </c>
      <c r="L177" s="101">
        <v>1.7</v>
      </c>
      <c r="M177" s="427"/>
      <c r="N177" s="427"/>
      <c r="O177" s="427"/>
      <c r="P177" s="535"/>
    </row>
    <row r="178" spans="1:16" ht="37.5" x14ac:dyDescent="0.25">
      <c r="A178" s="427"/>
      <c r="B178" s="439"/>
      <c r="C178" s="439"/>
      <c r="D178" s="117" t="s">
        <v>257</v>
      </c>
      <c r="E178" s="427"/>
      <c r="F178" s="87">
        <v>0.28399999999999997</v>
      </c>
      <c r="G178" s="89">
        <v>0.28399999999999997</v>
      </c>
      <c r="H178" s="427"/>
      <c r="I178" s="101" t="s">
        <v>37</v>
      </c>
      <c r="J178" s="101">
        <v>22.16</v>
      </c>
      <c r="K178" s="89">
        <v>0.182</v>
      </c>
      <c r="L178" s="101">
        <v>1.6</v>
      </c>
      <c r="M178" s="427"/>
      <c r="N178" s="427"/>
      <c r="O178" s="427"/>
      <c r="P178" s="535"/>
    </row>
    <row r="179" spans="1:16" ht="37.5" x14ac:dyDescent="0.25">
      <c r="A179" s="427"/>
      <c r="B179" s="439"/>
      <c r="C179" s="439"/>
      <c r="D179" s="117" t="s">
        <v>258</v>
      </c>
      <c r="E179" s="427"/>
      <c r="F179" s="87">
        <v>1.84</v>
      </c>
      <c r="G179" s="89">
        <v>1.84</v>
      </c>
      <c r="H179" s="427"/>
      <c r="I179" s="101" t="s">
        <v>37</v>
      </c>
      <c r="J179" s="101">
        <v>20.835000000000001</v>
      </c>
      <c r="K179" s="89">
        <v>0.17100000000000001</v>
      </c>
      <c r="L179" s="101">
        <v>10.9</v>
      </c>
      <c r="M179" s="427"/>
      <c r="N179" s="427"/>
      <c r="O179" s="427"/>
      <c r="P179" s="535"/>
    </row>
    <row r="180" spans="1:16" ht="19.5" x14ac:dyDescent="0.25">
      <c r="A180" s="101"/>
      <c r="B180" s="507" t="s">
        <v>22</v>
      </c>
      <c r="C180" s="507"/>
      <c r="D180" s="169"/>
      <c r="E180" s="47"/>
      <c r="F180" s="88">
        <f>SUM(F176:F179)</f>
        <v>2.6219999999999999</v>
      </c>
      <c r="G180" s="92">
        <f>SUM(G176:G179)</f>
        <v>2.6219999999999999</v>
      </c>
      <c r="H180" s="47"/>
      <c r="I180" s="47"/>
      <c r="J180" s="47"/>
      <c r="K180" s="92">
        <f>SUM(K176:K179)</f>
        <v>0.61099999999999999</v>
      </c>
      <c r="L180" s="47"/>
      <c r="M180" s="101"/>
      <c r="N180" s="101"/>
      <c r="O180" s="47"/>
      <c r="P180" s="168"/>
    </row>
    <row r="181" spans="1:16" ht="56.25" x14ac:dyDescent="0.25">
      <c r="A181" s="101">
        <v>56</v>
      </c>
      <c r="B181" s="117" t="s">
        <v>261</v>
      </c>
      <c r="C181" s="117" t="s">
        <v>259</v>
      </c>
      <c r="D181" s="117" t="s">
        <v>260</v>
      </c>
      <c r="E181" s="101" t="s">
        <v>261</v>
      </c>
      <c r="F181" s="87">
        <v>16.344999999999999</v>
      </c>
      <c r="G181" s="89">
        <v>16.344999999999999</v>
      </c>
      <c r="H181" s="101" t="s">
        <v>1112</v>
      </c>
      <c r="I181" s="101" t="s">
        <v>16</v>
      </c>
      <c r="J181" s="101">
        <v>873422</v>
      </c>
      <c r="K181" s="89">
        <v>9.7729999999999997</v>
      </c>
      <c r="L181" s="101">
        <v>1.67</v>
      </c>
      <c r="M181" s="101" t="s">
        <v>43</v>
      </c>
      <c r="N181" s="101" t="s">
        <v>21</v>
      </c>
      <c r="O181" s="101">
        <v>2018</v>
      </c>
      <c r="P181" s="168" t="s">
        <v>43</v>
      </c>
    </row>
    <row r="182" spans="1:16" ht="19.5" x14ac:dyDescent="0.25">
      <c r="A182" s="101"/>
      <c r="B182" s="507" t="s">
        <v>22</v>
      </c>
      <c r="C182" s="507"/>
      <c r="D182" s="169"/>
      <c r="E182" s="47"/>
      <c r="F182" s="88">
        <v>16.344999999999999</v>
      </c>
      <c r="G182" s="92">
        <v>16.344999999999999</v>
      </c>
      <c r="H182" s="47"/>
      <c r="I182" s="47"/>
      <c r="J182" s="47"/>
      <c r="K182" s="92">
        <f>SUM(K181)</f>
        <v>9.7729999999999997</v>
      </c>
      <c r="L182" s="47"/>
      <c r="M182" s="101"/>
      <c r="N182" s="101"/>
      <c r="O182" s="47"/>
      <c r="P182" s="168"/>
    </row>
    <row r="183" spans="1:16" ht="37.5" x14ac:dyDescent="0.25">
      <c r="A183" s="101">
        <v>57</v>
      </c>
      <c r="B183" s="117" t="s">
        <v>264</v>
      </c>
      <c r="C183" s="117" t="s">
        <v>262</v>
      </c>
      <c r="D183" s="117" t="s">
        <v>263</v>
      </c>
      <c r="E183" s="101" t="s">
        <v>264</v>
      </c>
      <c r="F183" s="87">
        <v>774.447</v>
      </c>
      <c r="G183" s="89">
        <v>774.447</v>
      </c>
      <c r="H183" s="101" t="s">
        <v>1112</v>
      </c>
      <c r="I183" s="101" t="s">
        <v>37</v>
      </c>
      <c r="J183" s="101">
        <v>9330</v>
      </c>
      <c r="K183" s="89">
        <v>53.7</v>
      </c>
      <c r="L183" s="101">
        <v>14</v>
      </c>
      <c r="M183" s="101" t="s">
        <v>471</v>
      </c>
      <c r="N183" s="101" t="s">
        <v>21</v>
      </c>
      <c r="O183" s="101">
        <v>2018</v>
      </c>
      <c r="P183" s="168" t="s">
        <v>471</v>
      </c>
    </row>
    <row r="184" spans="1:16" ht="19.5" x14ac:dyDescent="0.25">
      <c r="A184" s="101"/>
      <c r="B184" s="507" t="s">
        <v>22</v>
      </c>
      <c r="C184" s="507"/>
      <c r="D184" s="169"/>
      <c r="E184" s="47"/>
      <c r="F184" s="88">
        <v>774.447</v>
      </c>
      <c r="G184" s="92">
        <v>774.447</v>
      </c>
      <c r="H184" s="47"/>
      <c r="I184" s="47"/>
      <c r="J184" s="47"/>
      <c r="K184" s="92">
        <f>SUM(K183)</f>
        <v>53.7</v>
      </c>
      <c r="L184" s="47"/>
      <c r="M184" s="101"/>
      <c r="N184" s="101"/>
      <c r="O184" s="47"/>
      <c r="P184" s="168"/>
    </row>
    <row r="185" spans="1:16" x14ac:dyDescent="0.25">
      <c r="A185" s="101">
        <v>58</v>
      </c>
      <c r="B185" s="117" t="s">
        <v>266</v>
      </c>
      <c r="C185" s="117" t="s">
        <v>265</v>
      </c>
      <c r="D185" s="117" t="s">
        <v>238</v>
      </c>
      <c r="E185" s="101" t="s">
        <v>266</v>
      </c>
      <c r="F185" s="87">
        <v>6.3840000000000003</v>
      </c>
      <c r="G185" s="89">
        <v>6.3840000000000003</v>
      </c>
      <c r="H185" s="101" t="s">
        <v>1112</v>
      </c>
      <c r="I185" s="101" t="s">
        <v>16</v>
      </c>
      <c r="J185" s="101">
        <v>397214</v>
      </c>
      <c r="K185" s="89">
        <v>4.468</v>
      </c>
      <c r="L185" s="101">
        <v>1.4</v>
      </c>
      <c r="M185" s="101" t="s">
        <v>466</v>
      </c>
      <c r="N185" s="101" t="s">
        <v>21</v>
      </c>
      <c r="O185" s="101">
        <v>2018</v>
      </c>
      <c r="P185" s="168" t="s">
        <v>466</v>
      </c>
    </row>
    <row r="186" spans="1:16" ht="19.5" x14ac:dyDescent="0.25">
      <c r="A186" s="101"/>
      <c r="B186" s="507" t="s">
        <v>22</v>
      </c>
      <c r="C186" s="507"/>
      <c r="D186" s="169"/>
      <c r="E186" s="47"/>
      <c r="F186" s="88">
        <v>6.3840000000000003</v>
      </c>
      <c r="G186" s="92">
        <v>6.3840000000000003</v>
      </c>
      <c r="H186" s="47"/>
      <c r="I186" s="47"/>
      <c r="J186" s="47"/>
      <c r="K186" s="92">
        <f>SUM(K185)</f>
        <v>4.468</v>
      </c>
      <c r="L186" s="47"/>
      <c r="M186" s="101"/>
      <c r="N186" s="101"/>
      <c r="O186" s="47"/>
      <c r="P186" s="168"/>
    </row>
    <row r="187" spans="1:16" x14ac:dyDescent="0.25">
      <c r="A187" s="101">
        <v>59</v>
      </c>
      <c r="B187" s="117" t="s">
        <v>269</v>
      </c>
      <c r="C187" s="117" t="s">
        <v>267</v>
      </c>
      <c r="D187" s="117" t="s">
        <v>268</v>
      </c>
      <c r="E187" s="101" t="s">
        <v>269</v>
      </c>
      <c r="F187" s="87">
        <v>8.3469999999999995</v>
      </c>
      <c r="G187" s="89">
        <v>8.3469999999999995</v>
      </c>
      <c r="H187" s="101" t="s">
        <v>1112</v>
      </c>
      <c r="I187" s="101" t="s">
        <v>16</v>
      </c>
      <c r="J187" s="101">
        <v>241875.8</v>
      </c>
      <c r="K187" s="89">
        <v>2.4689999999999999</v>
      </c>
      <c r="L187" s="101">
        <v>3.38</v>
      </c>
      <c r="M187" s="101" t="s">
        <v>471</v>
      </c>
      <c r="N187" s="101" t="s">
        <v>21</v>
      </c>
      <c r="O187" s="101">
        <v>2018</v>
      </c>
      <c r="P187" s="168" t="s">
        <v>471</v>
      </c>
    </row>
    <row r="188" spans="1:16" ht="19.5" x14ac:dyDescent="0.25">
      <c r="A188" s="101"/>
      <c r="B188" s="507" t="s">
        <v>22</v>
      </c>
      <c r="C188" s="507"/>
      <c r="D188" s="169"/>
      <c r="E188" s="47"/>
      <c r="F188" s="88">
        <v>8.3469999999999995</v>
      </c>
      <c r="G188" s="92">
        <v>8.3469999999999995</v>
      </c>
      <c r="H188" s="47"/>
      <c r="I188" s="47"/>
      <c r="J188" s="47"/>
      <c r="K188" s="92">
        <f>SUM(K187)</f>
        <v>2.4689999999999999</v>
      </c>
      <c r="L188" s="47"/>
      <c r="M188" s="101"/>
      <c r="N188" s="101"/>
      <c r="O188" s="47"/>
      <c r="P188" s="168"/>
    </row>
    <row r="189" spans="1:16" x14ac:dyDescent="0.25">
      <c r="A189" s="427">
        <v>60</v>
      </c>
      <c r="B189" s="439" t="s">
        <v>272</v>
      </c>
      <c r="C189" s="439" t="s">
        <v>270</v>
      </c>
      <c r="D189" s="117" t="s">
        <v>271</v>
      </c>
      <c r="E189" s="427" t="s">
        <v>272</v>
      </c>
      <c r="F189" s="87">
        <v>0.17499999999999999</v>
      </c>
      <c r="G189" s="89">
        <v>0.17499999999999999</v>
      </c>
      <c r="H189" s="427" t="s">
        <v>1112</v>
      </c>
      <c r="I189" s="101" t="s">
        <v>16</v>
      </c>
      <c r="J189" s="101">
        <v>48399</v>
      </c>
      <c r="K189" s="89">
        <v>0.82199999999999995</v>
      </c>
      <c r="L189" s="101">
        <v>0.2</v>
      </c>
      <c r="M189" s="427" t="s">
        <v>471</v>
      </c>
      <c r="N189" s="427" t="s">
        <v>21</v>
      </c>
      <c r="O189" s="427">
        <v>2018</v>
      </c>
      <c r="P189" s="535" t="s">
        <v>471</v>
      </c>
    </row>
    <row r="190" spans="1:16" ht="37.5" x14ac:dyDescent="0.25">
      <c r="A190" s="427"/>
      <c r="B190" s="439"/>
      <c r="C190" s="439"/>
      <c r="D190" s="117" t="s">
        <v>273</v>
      </c>
      <c r="E190" s="427"/>
      <c r="F190" s="87">
        <v>0.37</v>
      </c>
      <c r="G190" s="89">
        <v>0.37</v>
      </c>
      <c r="H190" s="427"/>
      <c r="I190" s="101" t="s">
        <v>16</v>
      </c>
      <c r="J190" s="101">
        <v>14782.5</v>
      </c>
      <c r="K190" s="89">
        <v>0.251</v>
      </c>
      <c r="L190" s="101">
        <v>0.15</v>
      </c>
      <c r="M190" s="427"/>
      <c r="N190" s="427"/>
      <c r="O190" s="427"/>
      <c r="P190" s="535"/>
    </row>
    <row r="191" spans="1:16" ht="19.5" x14ac:dyDescent="0.25">
      <c r="A191" s="101"/>
      <c r="B191" s="507" t="s">
        <v>22</v>
      </c>
      <c r="C191" s="507"/>
      <c r="D191" s="169"/>
      <c r="E191" s="47"/>
      <c r="F191" s="88">
        <f>SUM(F189:F190)</f>
        <v>0.54499999999999993</v>
      </c>
      <c r="G191" s="92">
        <f>SUM(G189:G190)</f>
        <v>0.54499999999999993</v>
      </c>
      <c r="H191" s="47"/>
      <c r="I191" s="47"/>
      <c r="J191" s="47"/>
      <c r="K191" s="92">
        <f>SUM(K189:K190)</f>
        <v>1.073</v>
      </c>
      <c r="L191" s="47"/>
      <c r="M191" s="101"/>
      <c r="N191" s="101"/>
      <c r="O191" s="47"/>
      <c r="P191" s="168"/>
    </row>
    <row r="192" spans="1:16" x14ac:dyDescent="0.25">
      <c r="A192" s="101">
        <v>61</v>
      </c>
      <c r="B192" s="117" t="s">
        <v>276</v>
      </c>
      <c r="C192" s="117" t="s">
        <v>274</v>
      </c>
      <c r="D192" s="117" t="s">
        <v>275</v>
      </c>
      <c r="E192" s="101" t="s">
        <v>276</v>
      </c>
      <c r="F192" s="87">
        <v>109.994</v>
      </c>
      <c r="G192" s="89">
        <v>109.994</v>
      </c>
      <c r="H192" s="101" t="s">
        <v>1112</v>
      </c>
      <c r="I192" s="101" t="s">
        <v>16</v>
      </c>
      <c r="J192" s="101">
        <v>6342700</v>
      </c>
      <c r="K192" s="89">
        <v>52.643999999999998</v>
      </c>
      <c r="L192" s="101">
        <v>2.4</v>
      </c>
      <c r="M192" s="101" t="s">
        <v>492</v>
      </c>
      <c r="N192" s="101" t="s">
        <v>21</v>
      </c>
      <c r="O192" s="101">
        <v>2018</v>
      </c>
      <c r="P192" s="168" t="s">
        <v>492</v>
      </c>
    </row>
    <row r="193" spans="1:16" ht="19.5" x14ac:dyDescent="0.25">
      <c r="A193" s="101"/>
      <c r="B193" s="507" t="s">
        <v>22</v>
      </c>
      <c r="C193" s="507"/>
      <c r="D193" s="169"/>
      <c r="E193" s="47"/>
      <c r="F193" s="88">
        <f>SUM(F192)</f>
        <v>109.994</v>
      </c>
      <c r="G193" s="92">
        <f>SUM(G192)</f>
        <v>109.994</v>
      </c>
      <c r="H193" s="47"/>
      <c r="I193" s="47"/>
      <c r="J193" s="47"/>
      <c r="K193" s="92">
        <f>SUM(K192)</f>
        <v>52.643999999999998</v>
      </c>
      <c r="L193" s="47"/>
      <c r="M193" s="101"/>
      <c r="N193" s="101"/>
      <c r="O193" s="47"/>
      <c r="P193" s="168"/>
    </row>
    <row r="194" spans="1:16" ht="56.25" x14ac:dyDescent="0.25">
      <c r="A194" s="427">
        <v>62</v>
      </c>
      <c r="B194" s="439" t="s">
        <v>279</v>
      </c>
      <c r="C194" s="439" t="s">
        <v>1617</v>
      </c>
      <c r="D194" s="117" t="s">
        <v>278</v>
      </c>
      <c r="E194" s="427" t="s">
        <v>280</v>
      </c>
      <c r="F194" s="87">
        <v>0.85</v>
      </c>
      <c r="G194" s="89">
        <v>0.85</v>
      </c>
      <c r="H194" s="427" t="s">
        <v>428</v>
      </c>
      <c r="I194" s="101" t="s">
        <v>37</v>
      </c>
      <c r="J194" s="101">
        <v>34.630000000000003</v>
      </c>
      <c r="K194" s="89">
        <v>0.38800000000000001</v>
      </c>
      <c r="L194" s="101">
        <v>2.1800000000000002</v>
      </c>
      <c r="M194" s="427" t="s">
        <v>471</v>
      </c>
      <c r="N194" s="427" t="s">
        <v>21</v>
      </c>
      <c r="O194" s="427">
        <v>2018</v>
      </c>
      <c r="P194" s="535" t="s">
        <v>471</v>
      </c>
    </row>
    <row r="195" spans="1:16" ht="56.25" x14ac:dyDescent="0.25">
      <c r="A195" s="427"/>
      <c r="B195" s="439"/>
      <c r="C195" s="439"/>
      <c r="D195" s="117" t="s">
        <v>282</v>
      </c>
      <c r="E195" s="427"/>
      <c r="F195" s="87">
        <v>0.39</v>
      </c>
      <c r="G195" s="89">
        <v>0.39</v>
      </c>
      <c r="H195" s="427"/>
      <c r="I195" s="101" t="s">
        <v>283</v>
      </c>
      <c r="J195" s="101">
        <v>6578</v>
      </c>
      <c r="K195" s="89">
        <v>0.19</v>
      </c>
      <c r="L195" s="101">
        <v>2</v>
      </c>
      <c r="M195" s="427"/>
      <c r="N195" s="427"/>
      <c r="O195" s="427"/>
      <c r="P195" s="535"/>
    </row>
    <row r="196" spans="1:16" ht="19.5" x14ac:dyDescent="0.25">
      <c r="A196" s="101"/>
      <c r="B196" s="507" t="s">
        <v>22</v>
      </c>
      <c r="C196" s="507"/>
      <c r="D196" s="169"/>
      <c r="E196" s="47"/>
      <c r="F196" s="88">
        <f>SUM(F194:F195)</f>
        <v>1.24</v>
      </c>
      <c r="G196" s="92">
        <f>SUM(G194:G195)</f>
        <v>1.24</v>
      </c>
      <c r="H196" s="47"/>
      <c r="I196" s="47"/>
      <c r="J196" s="47"/>
      <c r="K196" s="92">
        <f>SUM(K194:K195)</f>
        <v>0.57800000000000007</v>
      </c>
      <c r="L196" s="47"/>
      <c r="M196" s="101"/>
      <c r="N196" s="101"/>
      <c r="O196" s="47"/>
      <c r="P196" s="168"/>
    </row>
    <row r="197" spans="1:16" x14ac:dyDescent="0.25">
      <c r="A197" s="101">
        <v>63</v>
      </c>
      <c r="B197" s="117" t="s">
        <v>286</v>
      </c>
      <c r="C197" s="117" t="s">
        <v>284</v>
      </c>
      <c r="D197" s="117" t="s">
        <v>285</v>
      </c>
      <c r="E197" s="101" t="s">
        <v>286</v>
      </c>
      <c r="F197" s="87">
        <v>1.117</v>
      </c>
      <c r="G197" s="89">
        <v>1.117</v>
      </c>
      <c r="H197" s="101" t="s">
        <v>1112</v>
      </c>
      <c r="I197" s="101" t="s">
        <v>16</v>
      </c>
      <c r="J197" s="101">
        <v>44852</v>
      </c>
      <c r="K197" s="89">
        <v>0.82099999999999995</v>
      </c>
      <c r="L197" s="101">
        <v>1.4</v>
      </c>
      <c r="M197" s="101" t="s">
        <v>20</v>
      </c>
      <c r="N197" s="101" t="s">
        <v>21</v>
      </c>
      <c r="O197" s="101">
        <v>2018</v>
      </c>
      <c r="P197" s="168" t="s">
        <v>20</v>
      </c>
    </row>
    <row r="198" spans="1:16" ht="19.5" x14ac:dyDescent="0.25">
      <c r="A198" s="101"/>
      <c r="B198" s="507" t="s">
        <v>22</v>
      </c>
      <c r="C198" s="507"/>
      <c r="D198" s="169"/>
      <c r="E198" s="47"/>
      <c r="F198" s="88">
        <v>1.117</v>
      </c>
      <c r="G198" s="92">
        <v>1.117</v>
      </c>
      <c r="H198" s="47"/>
      <c r="I198" s="47"/>
      <c r="J198" s="47"/>
      <c r="K198" s="92">
        <f>SUM(K197)</f>
        <v>0.82099999999999995</v>
      </c>
      <c r="L198" s="47"/>
      <c r="M198" s="101"/>
      <c r="N198" s="101"/>
      <c r="O198" s="47"/>
      <c r="P198" s="168"/>
    </row>
    <row r="199" spans="1:16" x14ac:dyDescent="0.25">
      <c r="A199" s="101">
        <v>64</v>
      </c>
      <c r="B199" s="117" t="s">
        <v>289</v>
      </c>
      <c r="C199" s="117" t="s">
        <v>287</v>
      </c>
      <c r="D199" s="117" t="s">
        <v>288</v>
      </c>
      <c r="E199" s="101" t="s">
        <v>289</v>
      </c>
      <c r="F199" s="87">
        <v>120</v>
      </c>
      <c r="G199" s="89">
        <v>120</v>
      </c>
      <c r="H199" s="101" t="s">
        <v>1112</v>
      </c>
      <c r="I199" s="101" t="s">
        <v>16</v>
      </c>
      <c r="J199" s="101">
        <v>990010</v>
      </c>
      <c r="K199" s="89">
        <v>16</v>
      </c>
      <c r="L199" s="101">
        <v>7.5</v>
      </c>
      <c r="M199" s="101" t="s">
        <v>20</v>
      </c>
      <c r="N199" s="101" t="s">
        <v>21</v>
      </c>
      <c r="O199" s="101">
        <v>2018</v>
      </c>
      <c r="P199" s="168" t="s">
        <v>20</v>
      </c>
    </row>
    <row r="200" spans="1:16" ht="19.5" x14ac:dyDescent="0.25">
      <c r="A200" s="101"/>
      <c r="B200" s="507" t="s">
        <v>22</v>
      </c>
      <c r="C200" s="507"/>
      <c r="D200" s="169"/>
      <c r="E200" s="47"/>
      <c r="F200" s="88">
        <f>SUM(F199)</f>
        <v>120</v>
      </c>
      <c r="G200" s="92">
        <f>SUM(G199)</f>
        <v>120</v>
      </c>
      <c r="H200" s="47"/>
      <c r="I200" s="47"/>
      <c r="J200" s="47"/>
      <c r="K200" s="92">
        <f>SUM(K199)</f>
        <v>16</v>
      </c>
      <c r="L200" s="47"/>
      <c r="M200" s="101"/>
      <c r="N200" s="101"/>
      <c r="O200" s="47"/>
      <c r="P200" s="168"/>
    </row>
    <row r="201" spans="1:16" ht="37.5" x14ac:dyDescent="0.25">
      <c r="A201" s="101">
        <v>65</v>
      </c>
      <c r="B201" s="117" t="s">
        <v>292</v>
      </c>
      <c r="C201" s="117" t="s">
        <v>290</v>
      </c>
      <c r="D201" s="117" t="s">
        <v>291</v>
      </c>
      <c r="E201" s="101" t="s">
        <v>292</v>
      </c>
      <c r="F201" s="87">
        <v>183.18100000000001</v>
      </c>
      <c r="G201" s="89">
        <v>183.18100000000001</v>
      </c>
      <c r="H201" s="101" t="s">
        <v>1112</v>
      </c>
      <c r="I201" s="101" t="s">
        <v>16</v>
      </c>
      <c r="J201" s="101">
        <v>1105000</v>
      </c>
      <c r="K201" s="89">
        <v>12.829000000000001</v>
      </c>
      <c r="L201" s="101">
        <v>14</v>
      </c>
      <c r="M201" s="101" t="s">
        <v>20</v>
      </c>
      <c r="N201" s="101" t="s">
        <v>21</v>
      </c>
      <c r="O201" s="101">
        <v>2018</v>
      </c>
      <c r="P201" s="168" t="s">
        <v>20</v>
      </c>
    </row>
    <row r="202" spans="1:16" ht="19.5" x14ac:dyDescent="0.25">
      <c r="A202" s="101"/>
      <c r="B202" s="507" t="s">
        <v>22</v>
      </c>
      <c r="C202" s="507"/>
      <c r="D202" s="169"/>
      <c r="E202" s="47"/>
      <c r="F202" s="88">
        <f>SUM(F201)</f>
        <v>183.18100000000001</v>
      </c>
      <c r="G202" s="92">
        <f>SUM(G201)</f>
        <v>183.18100000000001</v>
      </c>
      <c r="H202" s="47"/>
      <c r="I202" s="47"/>
      <c r="J202" s="47"/>
      <c r="K202" s="92">
        <f>SUM(K201)</f>
        <v>12.829000000000001</v>
      </c>
      <c r="L202" s="47"/>
      <c r="M202" s="101"/>
      <c r="N202" s="101"/>
      <c r="O202" s="47"/>
      <c r="P202" s="168"/>
    </row>
    <row r="203" spans="1:16" x14ac:dyDescent="0.25">
      <c r="A203" s="101">
        <v>66</v>
      </c>
      <c r="B203" s="117" t="s">
        <v>295</v>
      </c>
      <c r="C203" s="117" t="s">
        <v>293</v>
      </c>
      <c r="D203" s="117" t="s">
        <v>294</v>
      </c>
      <c r="E203" s="101" t="s">
        <v>296</v>
      </c>
      <c r="F203" s="87">
        <v>1.4039999999999999</v>
      </c>
      <c r="G203" s="89">
        <v>1.4039999999999999</v>
      </c>
      <c r="H203" s="101" t="s">
        <v>428</v>
      </c>
      <c r="I203" s="101" t="s">
        <v>16</v>
      </c>
      <c r="J203" s="101">
        <v>19050</v>
      </c>
      <c r="K203" s="89">
        <v>0.38100000000000001</v>
      </c>
      <c r="L203" s="101">
        <v>4</v>
      </c>
      <c r="M203" s="101" t="s">
        <v>27</v>
      </c>
      <c r="N203" s="101" t="s">
        <v>21</v>
      </c>
      <c r="O203" s="101">
        <v>2018</v>
      </c>
      <c r="P203" s="168" t="s">
        <v>27</v>
      </c>
    </row>
    <row r="204" spans="1:16" ht="19.5" x14ac:dyDescent="0.25">
      <c r="A204" s="101"/>
      <c r="B204" s="507" t="s">
        <v>22</v>
      </c>
      <c r="C204" s="507"/>
      <c r="D204" s="169"/>
      <c r="E204" s="47"/>
      <c r="F204" s="88">
        <v>1.4039999999999999</v>
      </c>
      <c r="G204" s="92">
        <v>1.4039999999999999</v>
      </c>
      <c r="H204" s="47"/>
      <c r="I204" s="47"/>
      <c r="J204" s="47"/>
      <c r="K204" s="92">
        <v>0.38100000000000001</v>
      </c>
      <c r="L204" s="47"/>
      <c r="M204" s="101"/>
      <c r="N204" s="101"/>
      <c r="O204" s="47"/>
      <c r="P204" s="168"/>
    </row>
    <row r="205" spans="1:16" ht="37.5" x14ac:dyDescent="0.25">
      <c r="A205" s="101">
        <v>67</v>
      </c>
      <c r="B205" s="117" t="s">
        <v>300</v>
      </c>
      <c r="C205" s="117" t="s">
        <v>298</v>
      </c>
      <c r="D205" s="117" t="s">
        <v>299</v>
      </c>
      <c r="E205" s="101" t="s">
        <v>301</v>
      </c>
      <c r="F205" s="87">
        <v>30.515000000000001</v>
      </c>
      <c r="G205" s="89">
        <v>30.515000000000001</v>
      </c>
      <c r="H205" s="101" t="s">
        <v>427</v>
      </c>
      <c r="I205" s="101" t="s">
        <v>283</v>
      </c>
      <c r="J205" s="101">
        <v>291282</v>
      </c>
      <c r="K205" s="89">
        <v>9.8000000000000007</v>
      </c>
      <c r="L205" s="101">
        <v>3.1</v>
      </c>
      <c r="M205" s="101" t="s">
        <v>466</v>
      </c>
      <c r="N205" s="101" t="s">
        <v>21</v>
      </c>
      <c r="O205" s="101">
        <v>2018</v>
      </c>
      <c r="P205" s="168" t="s">
        <v>466</v>
      </c>
    </row>
    <row r="206" spans="1:16" ht="19.5" x14ac:dyDescent="0.25">
      <c r="A206" s="101"/>
      <c r="B206" s="507" t="s">
        <v>22</v>
      </c>
      <c r="C206" s="507"/>
      <c r="D206" s="169"/>
      <c r="E206" s="47"/>
      <c r="F206" s="88">
        <v>30.515000000000001</v>
      </c>
      <c r="G206" s="92">
        <v>30.515000000000001</v>
      </c>
      <c r="H206" s="47"/>
      <c r="I206" s="47"/>
      <c r="J206" s="47"/>
      <c r="K206" s="92">
        <v>9.8000000000000007</v>
      </c>
      <c r="L206" s="47"/>
      <c r="M206" s="101"/>
      <c r="N206" s="101"/>
      <c r="O206" s="47"/>
      <c r="P206" s="168"/>
    </row>
    <row r="207" spans="1:16" x14ac:dyDescent="0.25">
      <c r="A207" s="427">
        <v>68</v>
      </c>
      <c r="B207" s="439" t="s">
        <v>304</v>
      </c>
      <c r="C207" s="439" t="s">
        <v>303</v>
      </c>
      <c r="D207" s="117" t="s">
        <v>294</v>
      </c>
      <c r="E207" s="427" t="s">
        <v>304</v>
      </c>
      <c r="F207" s="87">
        <v>3.2</v>
      </c>
      <c r="G207" s="89">
        <v>3.2</v>
      </c>
      <c r="H207" s="427" t="s">
        <v>1112</v>
      </c>
      <c r="I207" s="101" t="s">
        <v>1301</v>
      </c>
      <c r="J207" s="101">
        <v>415464.2</v>
      </c>
      <c r="K207" s="89">
        <v>5.37</v>
      </c>
      <c r="L207" s="101">
        <v>0.6</v>
      </c>
      <c r="M207" s="427" t="s">
        <v>43</v>
      </c>
      <c r="N207" s="427" t="s">
        <v>21</v>
      </c>
      <c r="O207" s="427">
        <v>2018</v>
      </c>
      <c r="P207" s="535" t="s">
        <v>43</v>
      </c>
    </row>
    <row r="208" spans="1:16" ht="37.5" x14ac:dyDescent="0.25">
      <c r="A208" s="427"/>
      <c r="B208" s="439"/>
      <c r="C208" s="439"/>
      <c r="D208" s="117" t="s">
        <v>305</v>
      </c>
      <c r="E208" s="427"/>
      <c r="F208" s="87">
        <v>3.48</v>
      </c>
      <c r="G208" s="89">
        <v>3.48</v>
      </c>
      <c r="H208" s="427"/>
      <c r="I208" s="101" t="s">
        <v>1301</v>
      </c>
      <c r="J208" s="101">
        <v>32400</v>
      </c>
      <c r="K208" s="89">
        <v>0.42</v>
      </c>
      <c r="L208" s="101">
        <v>8.3000000000000007</v>
      </c>
      <c r="M208" s="427"/>
      <c r="N208" s="427"/>
      <c r="O208" s="427"/>
      <c r="P208" s="535"/>
    </row>
    <row r="209" spans="1:18" ht="37.5" x14ac:dyDescent="0.25">
      <c r="A209" s="427"/>
      <c r="B209" s="439"/>
      <c r="C209" s="439"/>
      <c r="D209" s="117" t="s">
        <v>306</v>
      </c>
      <c r="E209" s="427"/>
      <c r="F209" s="87">
        <v>7.32</v>
      </c>
      <c r="G209" s="89">
        <v>7.32</v>
      </c>
      <c r="H209" s="427"/>
      <c r="I209" s="101" t="s">
        <v>1301</v>
      </c>
      <c r="J209" s="101">
        <v>75600</v>
      </c>
      <c r="K209" s="89">
        <v>0.97</v>
      </c>
      <c r="L209" s="101">
        <v>7.5</v>
      </c>
      <c r="M209" s="427"/>
      <c r="N209" s="427"/>
      <c r="O209" s="427"/>
      <c r="P209" s="535"/>
    </row>
    <row r="210" spans="1:18" ht="19.5" x14ac:dyDescent="0.25">
      <c r="A210" s="101"/>
      <c r="B210" s="507" t="s">
        <v>22</v>
      </c>
      <c r="C210" s="507"/>
      <c r="D210" s="169"/>
      <c r="E210" s="47"/>
      <c r="F210" s="88">
        <f>SUM(F207:F209)</f>
        <v>14</v>
      </c>
      <c r="G210" s="92">
        <f>SUM(G207:G209)</f>
        <v>14</v>
      </c>
      <c r="H210" s="47"/>
      <c r="I210" s="47"/>
      <c r="J210" s="47"/>
      <c r="K210" s="92">
        <f>SUM(K207:K209)</f>
        <v>6.76</v>
      </c>
      <c r="L210" s="47"/>
      <c r="M210" s="101"/>
      <c r="N210" s="101"/>
      <c r="O210" s="47"/>
      <c r="P210" s="168"/>
    </row>
    <row r="211" spans="1:18" s="228" customFormat="1" ht="19.5" customHeight="1" x14ac:dyDescent="0.25">
      <c r="A211" s="159"/>
      <c r="B211" s="220" t="s">
        <v>307</v>
      </c>
      <c r="C211" s="529"/>
      <c r="D211" s="529"/>
      <c r="E211" s="159"/>
      <c r="F211" s="368">
        <f>F120+F123+F128+F130+F135+F140+F150+F154+F156+F158+F160+F164+F166+F169+F173+F175+F180+F182+F184+F186+F188+F191+F193+F196+F198+F200+F202+F204+F206+F210</f>
        <v>7155.6032999999998</v>
      </c>
      <c r="G211" s="306">
        <f>G120+G123+G128+G130+G135+G140+G150+G154+G156+G158+G160+G164+G166+G169+G173+G175+G180+G182+G184+G186+G188+G191+G193+G196+G198+G200+G202+G204+G206+G210</f>
        <v>7155.6032999999998</v>
      </c>
      <c r="H211" s="159"/>
      <c r="I211" s="159"/>
      <c r="J211" s="159"/>
      <c r="K211" s="306">
        <f>K120+K123+K128+K130+K135+K140+K150+K154+K156+K158+K160+K164+K166+K169+K173+K175+K180+K182+K184+K186+K188+K191+K193+K196+K198+K200+K202+K204+K206+K210</f>
        <v>2569.3701199999991</v>
      </c>
      <c r="L211" s="159"/>
      <c r="M211" s="159"/>
      <c r="N211" s="159"/>
      <c r="O211" s="159"/>
      <c r="P211" s="224"/>
    </row>
    <row r="212" spans="1:18" ht="56.25" x14ac:dyDescent="0.25">
      <c r="A212" s="101">
        <v>69</v>
      </c>
      <c r="B212" s="117" t="s">
        <v>310</v>
      </c>
      <c r="C212" s="117" t="s">
        <v>308</v>
      </c>
      <c r="D212" s="117" t="s">
        <v>1435</v>
      </c>
      <c r="E212" s="101" t="s">
        <v>1433</v>
      </c>
      <c r="F212" s="87">
        <v>1567.1740090000001</v>
      </c>
      <c r="G212" s="89">
        <v>1567.1740090000001</v>
      </c>
      <c r="H212" s="101" t="s">
        <v>427</v>
      </c>
      <c r="I212" s="101" t="s">
        <v>16</v>
      </c>
      <c r="J212" s="90">
        <v>915975</v>
      </c>
      <c r="K212" s="89">
        <v>16.45091</v>
      </c>
      <c r="L212" s="367">
        <v>5</v>
      </c>
      <c r="M212" s="101" t="s">
        <v>1064</v>
      </c>
      <c r="N212" s="101" t="s">
        <v>21</v>
      </c>
      <c r="O212" s="101">
        <v>2019</v>
      </c>
      <c r="P212" s="168" t="s">
        <v>1064</v>
      </c>
      <c r="Q212" s="229">
        <f>K213+K215+K217+K219+K221+K223+K225+K227+K229+K231+K233+K237+K239+K241+K243+K245+K247+K249+K251+K253+K255+K305+K307+K314</f>
        <v>1192.2871260000002</v>
      </c>
      <c r="R212" s="229">
        <f>G213+G215+G217+G219+G221+G223+G225+G227+G229+G231+G233+G237+G239+G241+G243+G245+G247+G249+G251+G253+G255+G305+G307+G314</f>
        <v>31598.768566000006</v>
      </c>
    </row>
    <row r="213" spans="1:18" ht="19.5" x14ac:dyDescent="0.25">
      <c r="A213" s="101"/>
      <c r="B213" s="507" t="s">
        <v>22</v>
      </c>
      <c r="C213" s="507"/>
      <c r="D213" s="169"/>
      <c r="E213" s="47"/>
      <c r="F213" s="88">
        <f>F212</f>
        <v>1567.1740090000001</v>
      </c>
      <c r="G213" s="92">
        <f>G212</f>
        <v>1567.1740090000001</v>
      </c>
      <c r="H213" s="47"/>
      <c r="I213" s="47"/>
      <c r="J213" s="56"/>
      <c r="K213" s="92">
        <v>16.45091</v>
      </c>
      <c r="L213" s="370"/>
      <c r="M213" s="101"/>
      <c r="N213" s="101"/>
      <c r="O213" s="47"/>
      <c r="P213" s="168"/>
    </row>
    <row r="214" spans="1:18" ht="56.25" x14ac:dyDescent="0.25">
      <c r="A214" s="101">
        <v>70</v>
      </c>
      <c r="B214" s="117" t="s">
        <v>310</v>
      </c>
      <c r="C214" s="117" t="s">
        <v>308</v>
      </c>
      <c r="D214" s="117" t="s">
        <v>1434</v>
      </c>
      <c r="E214" s="101" t="s">
        <v>1433</v>
      </c>
      <c r="F214" s="87">
        <v>7683.8347530000001</v>
      </c>
      <c r="G214" s="89">
        <v>7683.8347530000001</v>
      </c>
      <c r="H214" s="101" t="s">
        <v>427</v>
      </c>
      <c r="I214" s="101" t="s">
        <v>16</v>
      </c>
      <c r="J214" s="90">
        <v>3717000</v>
      </c>
      <c r="K214" s="89">
        <v>66.757320000000007</v>
      </c>
      <c r="L214" s="367">
        <v>5</v>
      </c>
      <c r="M214" s="101" t="s">
        <v>1064</v>
      </c>
      <c r="N214" s="101" t="s">
        <v>21</v>
      </c>
      <c r="O214" s="101">
        <v>2019</v>
      </c>
      <c r="P214" s="168" t="s">
        <v>1064</v>
      </c>
    </row>
    <row r="215" spans="1:18" ht="19.5" x14ac:dyDescent="0.25">
      <c r="A215" s="101"/>
      <c r="B215" s="507" t="s">
        <v>22</v>
      </c>
      <c r="C215" s="507"/>
      <c r="D215" s="169"/>
      <c r="E215" s="47"/>
      <c r="F215" s="88">
        <f>F214</f>
        <v>7683.8347530000001</v>
      </c>
      <c r="G215" s="92">
        <f>G214</f>
        <v>7683.8347530000001</v>
      </c>
      <c r="H215" s="47"/>
      <c r="I215" s="47"/>
      <c r="J215" s="56"/>
      <c r="K215" s="92">
        <v>66.757320000000007</v>
      </c>
      <c r="L215" s="370"/>
      <c r="M215" s="101"/>
      <c r="N215" s="101"/>
      <c r="O215" s="47"/>
      <c r="P215" s="168"/>
    </row>
    <row r="216" spans="1:18" ht="56.25" x14ac:dyDescent="0.25">
      <c r="A216" s="101">
        <v>71</v>
      </c>
      <c r="B216" s="117" t="s">
        <v>317</v>
      </c>
      <c r="C216" s="117" t="s">
        <v>314</v>
      </c>
      <c r="D216" s="117" t="s">
        <v>315</v>
      </c>
      <c r="E216" s="101" t="s">
        <v>318</v>
      </c>
      <c r="F216" s="87">
        <v>102.102</v>
      </c>
      <c r="G216" s="89">
        <v>102.102</v>
      </c>
      <c r="H216" s="101" t="s">
        <v>427</v>
      </c>
      <c r="I216" s="101" t="s">
        <v>283</v>
      </c>
      <c r="J216" s="101">
        <v>1180359</v>
      </c>
      <c r="K216" s="89">
        <v>25</v>
      </c>
      <c r="L216" s="367">
        <v>3</v>
      </c>
      <c r="M216" s="101" t="s">
        <v>466</v>
      </c>
      <c r="N216" s="101" t="s">
        <v>21</v>
      </c>
      <c r="O216" s="101">
        <v>2019</v>
      </c>
      <c r="P216" s="168" t="s">
        <v>466</v>
      </c>
    </row>
    <row r="217" spans="1:18" ht="19.5" x14ac:dyDescent="0.25">
      <c r="A217" s="101"/>
      <c r="B217" s="507" t="s">
        <v>22</v>
      </c>
      <c r="C217" s="507"/>
      <c r="D217" s="169"/>
      <c r="E217" s="47"/>
      <c r="F217" s="88">
        <v>102.102</v>
      </c>
      <c r="G217" s="92">
        <v>102.102</v>
      </c>
      <c r="H217" s="47"/>
      <c r="I217" s="47"/>
      <c r="J217" s="47"/>
      <c r="K217" s="92">
        <v>25</v>
      </c>
      <c r="L217" s="370">
        <v>3</v>
      </c>
      <c r="M217" s="101"/>
      <c r="N217" s="101"/>
      <c r="O217" s="47"/>
      <c r="P217" s="168"/>
    </row>
    <row r="218" spans="1:18" ht="56.25" x14ac:dyDescent="0.25">
      <c r="A218" s="101">
        <v>72</v>
      </c>
      <c r="B218" s="117" t="s">
        <v>317</v>
      </c>
      <c r="C218" s="117" t="s">
        <v>314</v>
      </c>
      <c r="D218" s="117" t="s">
        <v>320</v>
      </c>
      <c r="E218" s="101" t="s">
        <v>318</v>
      </c>
      <c r="F218" s="87">
        <v>86.036000000000001</v>
      </c>
      <c r="G218" s="89">
        <v>86.036000000000001</v>
      </c>
      <c r="H218" s="101" t="s">
        <v>427</v>
      </c>
      <c r="I218" s="101" t="s">
        <v>283</v>
      </c>
      <c r="J218" s="101">
        <v>2124646</v>
      </c>
      <c r="K218" s="89">
        <v>45</v>
      </c>
      <c r="L218" s="367">
        <v>3</v>
      </c>
      <c r="M218" s="101" t="s">
        <v>466</v>
      </c>
      <c r="N218" s="101" t="s">
        <v>21</v>
      </c>
      <c r="O218" s="101">
        <v>2019</v>
      </c>
      <c r="P218" s="168" t="s">
        <v>466</v>
      </c>
    </row>
    <row r="219" spans="1:18" ht="19.5" x14ac:dyDescent="0.25">
      <c r="A219" s="101"/>
      <c r="B219" s="507" t="s">
        <v>22</v>
      </c>
      <c r="C219" s="507"/>
      <c r="D219" s="169"/>
      <c r="E219" s="47"/>
      <c r="F219" s="88">
        <v>86.036000000000001</v>
      </c>
      <c r="G219" s="92">
        <v>86.036000000000001</v>
      </c>
      <c r="H219" s="47"/>
      <c r="I219" s="47"/>
      <c r="J219" s="47"/>
      <c r="K219" s="92">
        <v>45</v>
      </c>
      <c r="L219" s="47"/>
      <c r="M219" s="101"/>
      <c r="N219" s="101"/>
      <c r="O219" s="47"/>
      <c r="P219" s="168"/>
    </row>
    <row r="220" spans="1:18" ht="37.5" x14ac:dyDescent="0.25">
      <c r="A220" s="101">
        <v>73</v>
      </c>
      <c r="B220" s="117" t="s">
        <v>1052</v>
      </c>
      <c r="C220" s="117" t="s">
        <v>1655</v>
      </c>
      <c r="D220" s="117" t="s">
        <v>323</v>
      </c>
      <c r="E220" s="101" t="s">
        <v>94</v>
      </c>
      <c r="F220" s="87">
        <v>207.80699999999999</v>
      </c>
      <c r="G220" s="89">
        <v>207.80699999999999</v>
      </c>
      <c r="H220" s="101" t="s">
        <v>428</v>
      </c>
      <c r="I220" s="101" t="s">
        <v>16</v>
      </c>
      <c r="J220" s="90">
        <v>7700000</v>
      </c>
      <c r="K220" s="89">
        <v>107</v>
      </c>
      <c r="L220" s="367">
        <v>2</v>
      </c>
      <c r="M220" s="101" t="s">
        <v>446</v>
      </c>
      <c r="N220" s="101" t="s">
        <v>21</v>
      </c>
      <c r="O220" s="101">
        <v>2019</v>
      </c>
      <c r="P220" s="168" t="s">
        <v>446</v>
      </c>
    </row>
    <row r="221" spans="1:18" ht="19.5" x14ac:dyDescent="0.25">
      <c r="A221" s="101"/>
      <c r="B221" s="507" t="s">
        <v>22</v>
      </c>
      <c r="C221" s="507"/>
      <c r="D221" s="179"/>
      <c r="E221" s="47"/>
      <c r="F221" s="88">
        <v>207.80699999999999</v>
      </c>
      <c r="G221" s="92">
        <v>207.80699999999999</v>
      </c>
      <c r="H221" s="47"/>
      <c r="I221" s="47"/>
      <c r="J221" s="47"/>
      <c r="K221" s="92">
        <v>107</v>
      </c>
      <c r="L221" s="47"/>
      <c r="M221" s="101"/>
      <c r="N221" s="101"/>
      <c r="O221" s="47"/>
      <c r="P221" s="168"/>
    </row>
    <row r="222" spans="1:18" ht="56.25" x14ac:dyDescent="0.25">
      <c r="A222" s="60">
        <v>74</v>
      </c>
      <c r="B222" s="180" t="s">
        <v>1053</v>
      </c>
      <c r="C222" s="180" t="s">
        <v>324</v>
      </c>
      <c r="D222" s="180" t="s">
        <v>325</v>
      </c>
      <c r="E222" s="60" t="s">
        <v>94</v>
      </c>
      <c r="F222" s="61">
        <v>900.10935199999994</v>
      </c>
      <c r="G222" s="371">
        <v>900.10935199999994</v>
      </c>
      <c r="H222" s="60" t="s">
        <v>428</v>
      </c>
      <c r="I222" s="60" t="s">
        <v>16</v>
      </c>
      <c r="J222" s="62">
        <v>30938012</v>
      </c>
      <c r="K222" s="371">
        <v>275.34830399999998</v>
      </c>
      <c r="L222" s="372">
        <v>3.3</v>
      </c>
      <c r="M222" s="101" t="s">
        <v>471</v>
      </c>
      <c r="N222" s="101" t="s">
        <v>21</v>
      </c>
      <c r="O222" s="60">
        <v>2019</v>
      </c>
      <c r="P222" s="168" t="s">
        <v>471</v>
      </c>
    </row>
    <row r="223" spans="1:18" ht="19.5" x14ac:dyDescent="0.25">
      <c r="A223" s="60"/>
      <c r="B223" s="507" t="s">
        <v>22</v>
      </c>
      <c r="C223" s="507"/>
      <c r="D223" s="181"/>
      <c r="E223" s="65"/>
      <c r="F223" s="97">
        <v>900.10935199999994</v>
      </c>
      <c r="G223" s="373">
        <v>900.10935199999994</v>
      </c>
      <c r="H223" s="65"/>
      <c r="I223" s="65"/>
      <c r="J223" s="65"/>
      <c r="K223" s="373">
        <v>275.34830399999998</v>
      </c>
      <c r="L223" s="65"/>
      <c r="M223" s="101"/>
      <c r="N223" s="101"/>
      <c r="O223" s="65"/>
      <c r="P223" s="168"/>
    </row>
    <row r="224" spans="1:18" ht="37.5" x14ac:dyDescent="0.25">
      <c r="A224" s="101">
        <v>75</v>
      </c>
      <c r="B224" s="117" t="s">
        <v>328</v>
      </c>
      <c r="C224" s="182" t="s">
        <v>326</v>
      </c>
      <c r="D224" s="182" t="s">
        <v>327</v>
      </c>
      <c r="E224" s="101" t="s">
        <v>328</v>
      </c>
      <c r="F224" s="67">
        <v>2419.6419999999998</v>
      </c>
      <c r="G224" s="248">
        <v>2419.6419999999998</v>
      </c>
      <c r="H224" s="101" t="s">
        <v>1112</v>
      </c>
      <c r="I224" s="60" t="s">
        <v>16</v>
      </c>
      <c r="J224" s="101">
        <v>20884164</v>
      </c>
      <c r="K224" s="89">
        <v>373.2</v>
      </c>
      <c r="L224" s="101">
        <v>6.5</v>
      </c>
      <c r="M224" s="101" t="s">
        <v>466</v>
      </c>
      <c r="N224" s="101" t="s">
        <v>21</v>
      </c>
      <c r="O224" s="101">
        <v>2019</v>
      </c>
      <c r="P224" s="168" t="s">
        <v>466</v>
      </c>
    </row>
    <row r="225" spans="1:18" ht="19.5" x14ac:dyDescent="0.25">
      <c r="A225" s="101"/>
      <c r="B225" s="507" t="s">
        <v>22</v>
      </c>
      <c r="C225" s="507"/>
      <c r="D225" s="179"/>
      <c r="E225" s="47"/>
      <c r="F225" s="88">
        <v>2419.6419999999998</v>
      </c>
      <c r="G225" s="92">
        <v>2419.6419999999998</v>
      </c>
      <c r="H225" s="47"/>
      <c r="I225" s="47"/>
      <c r="J225" s="47"/>
      <c r="K225" s="92">
        <v>373.2</v>
      </c>
      <c r="L225" s="47"/>
      <c r="M225" s="101"/>
      <c r="N225" s="101"/>
      <c r="O225" s="47"/>
      <c r="P225" s="168"/>
    </row>
    <row r="226" spans="1:18" ht="84" customHeight="1" x14ac:dyDescent="0.25">
      <c r="A226" s="101">
        <v>76</v>
      </c>
      <c r="B226" s="117" t="s">
        <v>331</v>
      </c>
      <c r="C226" s="182" t="s">
        <v>1303</v>
      </c>
      <c r="D226" s="182" t="s">
        <v>1304</v>
      </c>
      <c r="E226" s="101" t="s">
        <v>332</v>
      </c>
      <c r="F226" s="67">
        <v>1162.3409999999999</v>
      </c>
      <c r="G226" s="248">
        <v>1162.3409999999999</v>
      </c>
      <c r="H226" s="101" t="s">
        <v>427</v>
      </c>
      <c r="I226" s="101" t="s">
        <v>16</v>
      </c>
      <c r="J226" s="107">
        <v>87696</v>
      </c>
      <c r="K226" s="248">
        <v>20.024505000000001</v>
      </c>
      <c r="L226" s="73">
        <v>11</v>
      </c>
      <c r="M226" s="101" t="s">
        <v>442</v>
      </c>
      <c r="N226" s="101" t="s">
        <v>501</v>
      </c>
      <c r="O226" s="101">
        <v>2019</v>
      </c>
      <c r="P226" s="168" t="s">
        <v>442</v>
      </c>
    </row>
    <row r="227" spans="1:18" ht="19.5" x14ac:dyDescent="0.25">
      <c r="A227" s="101"/>
      <c r="B227" s="507" t="s">
        <v>22</v>
      </c>
      <c r="C227" s="507"/>
      <c r="D227" s="179"/>
      <c r="E227" s="47"/>
      <c r="F227" s="88">
        <v>1162.3409999999999</v>
      </c>
      <c r="G227" s="92">
        <v>1162.3409999999999</v>
      </c>
      <c r="H227" s="47"/>
      <c r="I227" s="47"/>
      <c r="J227" s="47"/>
      <c r="K227" s="92">
        <v>20.024999999999999</v>
      </c>
      <c r="L227" s="47"/>
      <c r="M227" s="101"/>
      <c r="N227" s="101"/>
      <c r="O227" s="47"/>
      <c r="P227" s="168"/>
    </row>
    <row r="228" spans="1:18" ht="93.75" x14ac:dyDescent="0.25">
      <c r="A228" s="101">
        <v>77</v>
      </c>
      <c r="B228" s="117" t="s">
        <v>331</v>
      </c>
      <c r="C228" s="182" t="s">
        <v>1616</v>
      </c>
      <c r="D228" s="182" t="s">
        <v>1304</v>
      </c>
      <c r="E228" s="101" t="s">
        <v>332</v>
      </c>
      <c r="F228" s="67">
        <v>522.62800000000004</v>
      </c>
      <c r="G228" s="248">
        <v>522.62800000000004</v>
      </c>
      <c r="H228" s="101" t="s">
        <v>427</v>
      </c>
      <c r="I228" s="101" t="s">
        <v>16</v>
      </c>
      <c r="J228" s="107" t="s">
        <v>335</v>
      </c>
      <c r="K228" s="248">
        <v>31.058350000000001</v>
      </c>
      <c r="L228" s="73">
        <v>10</v>
      </c>
      <c r="M228" s="101" t="s">
        <v>442</v>
      </c>
      <c r="N228" s="101" t="s">
        <v>501</v>
      </c>
      <c r="O228" s="101">
        <v>2019</v>
      </c>
      <c r="P228" s="168" t="s">
        <v>442</v>
      </c>
    </row>
    <row r="229" spans="1:18" ht="19.5" x14ac:dyDescent="0.25">
      <c r="A229" s="101"/>
      <c r="B229" s="507" t="s">
        <v>22</v>
      </c>
      <c r="C229" s="507"/>
      <c r="D229" s="179"/>
      <c r="E229" s="47"/>
      <c r="F229" s="88">
        <v>522.62800000000004</v>
      </c>
      <c r="G229" s="92">
        <v>522.62800000000004</v>
      </c>
      <c r="H229" s="47"/>
      <c r="I229" s="47"/>
      <c r="J229" s="47"/>
      <c r="K229" s="92">
        <v>31.058</v>
      </c>
      <c r="L229" s="47"/>
      <c r="M229" s="101"/>
      <c r="N229" s="101"/>
      <c r="O229" s="47"/>
      <c r="P229" s="168"/>
    </row>
    <row r="230" spans="1:18" ht="75" x14ac:dyDescent="0.25">
      <c r="A230" s="101">
        <v>78</v>
      </c>
      <c r="B230" s="117" t="s">
        <v>331</v>
      </c>
      <c r="C230" s="182" t="s">
        <v>1615</v>
      </c>
      <c r="D230" s="182" t="s">
        <v>1305</v>
      </c>
      <c r="E230" s="101" t="s">
        <v>332</v>
      </c>
      <c r="F230" s="67">
        <v>795.95</v>
      </c>
      <c r="G230" s="248">
        <v>795.95</v>
      </c>
      <c r="H230" s="101" t="s">
        <v>427</v>
      </c>
      <c r="I230" s="101" t="s">
        <v>16</v>
      </c>
      <c r="J230" s="107">
        <v>333337</v>
      </c>
      <c r="K230" s="248">
        <v>76.114170999999999</v>
      </c>
      <c r="L230" s="73">
        <v>10</v>
      </c>
      <c r="M230" s="101" t="s">
        <v>442</v>
      </c>
      <c r="N230" s="101" t="s">
        <v>501</v>
      </c>
      <c r="O230" s="101">
        <v>2019</v>
      </c>
      <c r="P230" s="168" t="s">
        <v>442</v>
      </c>
    </row>
    <row r="231" spans="1:18" ht="19.5" x14ac:dyDescent="0.25">
      <c r="A231" s="101"/>
      <c r="B231" s="507" t="s">
        <v>22</v>
      </c>
      <c r="C231" s="507"/>
      <c r="D231" s="179"/>
      <c r="E231" s="47"/>
      <c r="F231" s="88">
        <v>795.95</v>
      </c>
      <c r="G231" s="92">
        <v>795.95</v>
      </c>
      <c r="H231" s="47"/>
      <c r="I231" s="47"/>
      <c r="J231" s="47"/>
      <c r="K231" s="92">
        <v>76.114000000000004</v>
      </c>
      <c r="L231" s="47"/>
      <c r="M231" s="101"/>
      <c r="N231" s="101"/>
      <c r="O231" s="47"/>
      <c r="P231" s="168"/>
    </row>
    <row r="232" spans="1:18" ht="75" x14ac:dyDescent="0.25">
      <c r="A232" s="101">
        <v>79</v>
      </c>
      <c r="B232" s="117" t="s">
        <v>331</v>
      </c>
      <c r="C232" s="182" t="s">
        <v>1614</v>
      </c>
      <c r="D232" s="182" t="s">
        <v>1306</v>
      </c>
      <c r="E232" s="101" t="s">
        <v>332</v>
      </c>
      <c r="F232" s="67">
        <v>600.70000000000005</v>
      </c>
      <c r="G232" s="248">
        <v>600.70000000000005</v>
      </c>
      <c r="H232" s="101" t="s">
        <v>427</v>
      </c>
      <c r="I232" s="101" t="s">
        <v>16</v>
      </c>
      <c r="J232" s="107">
        <v>170407</v>
      </c>
      <c r="K232" s="248">
        <v>38.910733999999998</v>
      </c>
      <c r="L232" s="73">
        <v>10</v>
      </c>
      <c r="M232" s="101" t="s">
        <v>442</v>
      </c>
      <c r="N232" s="101" t="s">
        <v>501</v>
      </c>
      <c r="O232" s="101">
        <v>2019</v>
      </c>
      <c r="P232" s="168" t="s">
        <v>442</v>
      </c>
    </row>
    <row r="233" spans="1:18" ht="19.5" x14ac:dyDescent="0.25">
      <c r="A233" s="101"/>
      <c r="B233" s="507" t="s">
        <v>22</v>
      </c>
      <c r="C233" s="507"/>
      <c r="D233" s="179"/>
      <c r="E233" s="47"/>
      <c r="F233" s="88">
        <v>600.70000000000005</v>
      </c>
      <c r="G233" s="92">
        <v>600.70000000000005</v>
      </c>
      <c r="H233" s="47"/>
      <c r="I233" s="47"/>
      <c r="J233" s="47"/>
      <c r="K233" s="92">
        <v>38.911000000000001</v>
      </c>
      <c r="L233" s="47"/>
      <c r="M233" s="101"/>
      <c r="N233" s="101"/>
      <c r="O233" s="47"/>
      <c r="P233" s="168"/>
    </row>
    <row r="234" spans="1:18" ht="75" x14ac:dyDescent="0.25">
      <c r="A234" s="101">
        <v>80</v>
      </c>
      <c r="B234" s="117" t="s">
        <v>331</v>
      </c>
      <c r="C234" s="182" t="s">
        <v>1613</v>
      </c>
      <c r="D234" s="182" t="s">
        <v>1297</v>
      </c>
      <c r="E234" s="101" t="s">
        <v>332</v>
      </c>
      <c r="F234" s="67">
        <v>5426.3</v>
      </c>
      <c r="G234" s="248">
        <v>5426.3</v>
      </c>
      <c r="H234" s="101" t="s">
        <v>427</v>
      </c>
      <c r="I234" s="101" t="s">
        <v>16</v>
      </c>
      <c r="J234" s="107">
        <v>87696</v>
      </c>
      <c r="K234" s="248">
        <v>26.863264999999998</v>
      </c>
      <c r="L234" s="73">
        <v>11</v>
      </c>
      <c r="M234" s="101" t="s">
        <v>442</v>
      </c>
      <c r="N234" s="101" t="s">
        <v>312</v>
      </c>
      <c r="O234" s="101">
        <v>2019</v>
      </c>
      <c r="P234" s="168" t="s">
        <v>442</v>
      </c>
      <c r="Q234" s="229">
        <f>K235+K257+K259+K261+K263+K265+K267+K269+K271+K273+K275+K277+K279+K281+K283+K285+K287+K289+K291+K293+K295+K297+K299+K301+K303</f>
        <v>50.764500000000012</v>
      </c>
      <c r="R234" s="229">
        <f>G234+G257+G259+G261+G263+G265+G267+G269+G271+G273+G275+G277+G279+G281+G283+G285+G287+G289+G291+G293+G295+G297+G299+G301+G303</f>
        <v>5570.2849999999989</v>
      </c>
    </row>
    <row r="235" spans="1:18" ht="19.5" x14ac:dyDescent="0.25">
      <c r="A235" s="101"/>
      <c r="B235" s="507" t="s">
        <v>22</v>
      </c>
      <c r="C235" s="507"/>
      <c r="D235" s="179"/>
      <c r="E235" s="47"/>
      <c r="F235" s="88">
        <v>5426.3</v>
      </c>
      <c r="G235" s="92">
        <v>5426.3</v>
      </c>
      <c r="H235" s="47"/>
      <c r="I235" s="47"/>
      <c r="J235" s="47"/>
      <c r="K235" s="92">
        <v>26.863</v>
      </c>
      <c r="L235" s="47"/>
      <c r="M235" s="101"/>
      <c r="N235" s="101"/>
      <c r="O235" s="47"/>
      <c r="P235" s="168"/>
    </row>
    <row r="236" spans="1:18" ht="58.5" customHeight="1" x14ac:dyDescent="0.25">
      <c r="A236" s="101">
        <v>81</v>
      </c>
      <c r="B236" s="117" t="s">
        <v>344</v>
      </c>
      <c r="C236" s="182" t="s">
        <v>342</v>
      </c>
      <c r="D236" s="182" t="s">
        <v>1437</v>
      </c>
      <c r="E236" s="101" t="s">
        <v>345</v>
      </c>
      <c r="F236" s="67">
        <v>70</v>
      </c>
      <c r="G236" s="248">
        <v>70</v>
      </c>
      <c r="H236" s="101" t="s">
        <v>427</v>
      </c>
      <c r="I236" s="101" t="s">
        <v>16</v>
      </c>
      <c r="J236" s="69">
        <v>383250</v>
      </c>
      <c r="K236" s="248">
        <v>9.2593200000000007</v>
      </c>
      <c r="L236" s="367">
        <v>8</v>
      </c>
      <c r="M236" s="101" t="s">
        <v>471</v>
      </c>
      <c r="N236" s="101" t="s">
        <v>21</v>
      </c>
      <c r="O236" s="101">
        <v>2019</v>
      </c>
      <c r="P236" s="168" t="s">
        <v>471</v>
      </c>
    </row>
    <row r="237" spans="1:18" ht="19.5" x14ac:dyDescent="0.25">
      <c r="A237" s="101"/>
      <c r="B237" s="507" t="s">
        <v>22</v>
      </c>
      <c r="C237" s="507"/>
      <c r="D237" s="169"/>
      <c r="E237" s="47"/>
      <c r="F237" s="88">
        <f>F236</f>
        <v>70</v>
      </c>
      <c r="G237" s="92">
        <f>G236</f>
        <v>70</v>
      </c>
      <c r="H237" s="47"/>
      <c r="I237" s="47"/>
      <c r="J237" s="47"/>
      <c r="K237" s="92">
        <v>9.2590000000000003</v>
      </c>
      <c r="L237" s="47"/>
      <c r="M237" s="101"/>
      <c r="N237" s="101"/>
      <c r="O237" s="47"/>
      <c r="P237" s="168"/>
    </row>
    <row r="238" spans="1:18" ht="93.75" x14ac:dyDescent="0.25">
      <c r="A238" s="101">
        <v>82</v>
      </c>
      <c r="B238" s="117" t="s">
        <v>317</v>
      </c>
      <c r="C238" s="182" t="s">
        <v>347</v>
      </c>
      <c r="D238" s="182" t="s">
        <v>348</v>
      </c>
      <c r="E238" s="101" t="s">
        <v>318</v>
      </c>
      <c r="F238" s="67">
        <v>37.148000000000003</v>
      </c>
      <c r="G238" s="248">
        <v>37.148000000000003</v>
      </c>
      <c r="H238" s="101" t="s">
        <v>427</v>
      </c>
      <c r="I238" s="107" t="s">
        <v>349</v>
      </c>
      <c r="J238" s="69">
        <v>236072</v>
      </c>
      <c r="K238" s="248">
        <v>5</v>
      </c>
      <c r="L238" s="73">
        <v>3</v>
      </c>
      <c r="M238" s="101" t="s">
        <v>466</v>
      </c>
      <c r="N238" s="101" t="s">
        <v>21</v>
      </c>
      <c r="O238" s="101">
        <v>2019</v>
      </c>
      <c r="P238" s="168" t="s">
        <v>466</v>
      </c>
    </row>
    <row r="239" spans="1:18" ht="19.5" x14ac:dyDescent="0.25">
      <c r="A239" s="101"/>
      <c r="B239" s="507" t="s">
        <v>22</v>
      </c>
      <c r="C239" s="507"/>
      <c r="D239" s="169"/>
      <c r="E239" s="47"/>
      <c r="F239" s="88">
        <v>37.148000000000003</v>
      </c>
      <c r="G239" s="92">
        <v>37.148000000000003</v>
      </c>
      <c r="H239" s="47"/>
      <c r="I239" s="47"/>
      <c r="J239" s="47"/>
      <c r="K239" s="92">
        <v>5</v>
      </c>
      <c r="L239" s="47"/>
      <c r="M239" s="101"/>
      <c r="N239" s="101"/>
      <c r="O239" s="47"/>
      <c r="P239" s="168"/>
    </row>
    <row r="240" spans="1:18" ht="75" x14ac:dyDescent="0.25">
      <c r="A240" s="101">
        <v>83</v>
      </c>
      <c r="B240" s="117" t="s">
        <v>317</v>
      </c>
      <c r="C240" s="182" t="s">
        <v>350</v>
      </c>
      <c r="D240" s="182" t="s">
        <v>351</v>
      </c>
      <c r="E240" s="101" t="s">
        <v>318</v>
      </c>
      <c r="F240" s="67">
        <v>30.414000000000001</v>
      </c>
      <c r="G240" s="248">
        <v>30.414000000000001</v>
      </c>
      <c r="H240" s="101" t="s">
        <v>427</v>
      </c>
      <c r="I240" s="107" t="s">
        <v>349</v>
      </c>
      <c r="J240" s="107">
        <v>1085930</v>
      </c>
      <c r="K240" s="248">
        <v>23</v>
      </c>
      <c r="L240" s="73">
        <v>3</v>
      </c>
      <c r="M240" s="101" t="s">
        <v>466</v>
      </c>
      <c r="N240" s="101" t="s">
        <v>21</v>
      </c>
      <c r="O240" s="101">
        <v>2019</v>
      </c>
      <c r="P240" s="168" t="s">
        <v>466</v>
      </c>
    </row>
    <row r="241" spans="1:16" ht="19.5" x14ac:dyDescent="0.25">
      <c r="A241" s="101"/>
      <c r="B241" s="507" t="s">
        <v>22</v>
      </c>
      <c r="C241" s="507"/>
      <c r="D241" s="169"/>
      <c r="E241" s="47"/>
      <c r="F241" s="88">
        <v>30.414000000000001</v>
      </c>
      <c r="G241" s="92">
        <v>30.414000000000001</v>
      </c>
      <c r="H241" s="47"/>
      <c r="I241" s="47"/>
      <c r="J241" s="47"/>
      <c r="K241" s="92">
        <v>23</v>
      </c>
      <c r="L241" s="47"/>
      <c r="M241" s="101"/>
      <c r="N241" s="101"/>
      <c r="O241" s="47"/>
      <c r="P241" s="168"/>
    </row>
    <row r="242" spans="1:16" ht="37.5" x14ac:dyDescent="0.25">
      <c r="A242" s="101">
        <v>84</v>
      </c>
      <c r="B242" s="117" t="s">
        <v>353</v>
      </c>
      <c r="C242" s="182" t="s">
        <v>1612</v>
      </c>
      <c r="D242" s="182" t="s">
        <v>92</v>
      </c>
      <c r="E242" s="101" t="s">
        <v>353</v>
      </c>
      <c r="F242" s="67">
        <v>15.285</v>
      </c>
      <c r="G242" s="248">
        <v>15.285</v>
      </c>
      <c r="H242" s="101" t="s">
        <v>1112</v>
      </c>
      <c r="I242" s="107" t="s">
        <v>16</v>
      </c>
      <c r="J242" s="107">
        <v>125300</v>
      </c>
      <c r="K242" s="248">
        <v>2.2010000000000001</v>
      </c>
      <c r="L242" s="73">
        <v>6.9</v>
      </c>
      <c r="M242" s="101" t="s">
        <v>517</v>
      </c>
      <c r="N242" s="101" t="s">
        <v>21</v>
      </c>
      <c r="O242" s="101">
        <v>2019</v>
      </c>
      <c r="P242" s="168" t="s">
        <v>517</v>
      </c>
    </row>
    <row r="243" spans="1:16" ht="19.5" x14ac:dyDescent="0.25">
      <c r="A243" s="101"/>
      <c r="B243" s="507" t="s">
        <v>22</v>
      </c>
      <c r="C243" s="507"/>
      <c r="D243" s="169"/>
      <c r="E243" s="47"/>
      <c r="F243" s="88">
        <v>15.285</v>
      </c>
      <c r="G243" s="92">
        <v>15.285</v>
      </c>
      <c r="H243" s="47"/>
      <c r="I243" s="47"/>
      <c r="J243" s="47"/>
      <c r="K243" s="92">
        <v>2.2010000000000001</v>
      </c>
      <c r="L243" s="47"/>
      <c r="M243" s="101"/>
      <c r="N243" s="101"/>
      <c r="O243" s="47"/>
      <c r="P243" s="168"/>
    </row>
    <row r="244" spans="1:16" ht="56.25" x14ac:dyDescent="0.25">
      <c r="A244" s="101">
        <v>85</v>
      </c>
      <c r="B244" s="117" t="s">
        <v>310</v>
      </c>
      <c r="C244" s="182" t="s">
        <v>355</v>
      </c>
      <c r="D244" s="182" t="s">
        <v>1307</v>
      </c>
      <c r="E244" s="101" t="s">
        <v>1433</v>
      </c>
      <c r="F244" s="67">
        <v>2383.5145600000001</v>
      </c>
      <c r="G244" s="248">
        <v>2383.5145600000001</v>
      </c>
      <c r="H244" s="101" t="s">
        <v>427</v>
      </c>
      <c r="I244" s="107" t="s">
        <v>16</v>
      </c>
      <c r="J244" s="107">
        <v>1850200</v>
      </c>
      <c r="K244" s="248">
        <v>33.229591999999997</v>
      </c>
      <c r="L244" s="73">
        <v>6.9</v>
      </c>
      <c r="M244" s="101" t="s">
        <v>1064</v>
      </c>
      <c r="N244" s="101" t="s">
        <v>21</v>
      </c>
      <c r="O244" s="101">
        <v>2019</v>
      </c>
      <c r="P244" s="168" t="s">
        <v>1064</v>
      </c>
    </row>
    <row r="245" spans="1:16" ht="19.5" x14ac:dyDescent="0.25">
      <c r="A245" s="101"/>
      <c r="B245" s="507" t="s">
        <v>22</v>
      </c>
      <c r="C245" s="507"/>
      <c r="D245" s="169"/>
      <c r="E245" s="47"/>
      <c r="F245" s="88">
        <v>2383.5145600000001</v>
      </c>
      <c r="G245" s="92">
        <v>2383.5145600000001</v>
      </c>
      <c r="H245" s="47"/>
      <c r="I245" s="47"/>
      <c r="J245" s="47"/>
      <c r="K245" s="92">
        <v>33.229591999999997</v>
      </c>
      <c r="L245" s="47"/>
      <c r="M245" s="101"/>
      <c r="N245" s="101"/>
      <c r="O245" s="47"/>
      <c r="P245" s="168"/>
    </row>
    <row r="246" spans="1:16" ht="56.25" x14ac:dyDescent="0.25">
      <c r="A246" s="101">
        <v>86</v>
      </c>
      <c r="B246" s="117" t="s">
        <v>359</v>
      </c>
      <c r="C246" s="182" t="s">
        <v>357</v>
      </c>
      <c r="D246" s="182" t="s">
        <v>358</v>
      </c>
      <c r="E246" s="101" t="s">
        <v>360</v>
      </c>
      <c r="F246" s="67">
        <v>3.5126919999999999</v>
      </c>
      <c r="G246" s="248">
        <v>3.5126919999999999</v>
      </c>
      <c r="H246" s="101" t="s">
        <v>428</v>
      </c>
      <c r="I246" s="107" t="s">
        <v>37</v>
      </c>
      <c r="J246" s="107">
        <v>379.721</v>
      </c>
      <c r="K246" s="248">
        <v>1.5</v>
      </c>
      <c r="L246" s="73">
        <v>1</v>
      </c>
      <c r="M246" s="101" t="s">
        <v>471</v>
      </c>
      <c r="N246" s="101" t="s">
        <v>21</v>
      </c>
      <c r="O246" s="101">
        <v>2019</v>
      </c>
      <c r="P246" s="168" t="s">
        <v>471</v>
      </c>
    </row>
    <row r="247" spans="1:16" ht="19.5" x14ac:dyDescent="0.25">
      <c r="A247" s="101"/>
      <c r="B247" s="507" t="s">
        <v>22</v>
      </c>
      <c r="C247" s="507"/>
      <c r="D247" s="169"/>
      <c r="E247" s="47"/>
      <c r="F247" s="88">
        <v>3.5126919999999999</v>
      </c>
      <c r="G247" s="92">
        <v>3.5126919999999999</v>
      </c>
      <c r="H247" s="47"/>
      <c r="I247" s="47"/>
      <c r="J247" s="47"/>
      <c r="K247" s="92">
        <v>1.5</v>
      </c>
      <c r="L247" s="47"/>
      <c r="M247" s="101"/>
      <c r="N247" s="101"/>
      <c r="O247" s="47"/>
      <c r="P247" s="168"/>
    </row>
    <row r="248" spans="1:16" ht="93.75" x14ac:dyDescent="0.25">
      <c r="A248" s="101">
        <v>87</v>
      </c>
      <c r="B248" s="117" t="s">
        <v>363</v>
      </c>
      <c r="C248" s="182" t="s">
        <v>361</v>
      </c>
      <c r="D248" s="182" t="s">
        <v>1438</v>
      </c>
      <c r="E248" s="101" t="s">
        <v>1439</v>
      </c>
      <c r="F248" s="67">
        <v>12575.986000000001</v>
      </c>
      <c r="G248" s="248">
        <v>12575.986000000001</v>
      </c>
      <c r="H248" s="101" t="s">
        <v>427</v>
      </c>
      <c r="I248" s="107" t="s">
        <v>16</v>
      </c>
      <c r="J248" s="153">
        <v>0.15</v>
      </c>
      <c r="K248" s="248">
        <v>0</v>
      </c>
      <c r="L248" s="73"/>
      <c r="M248" s="101" t="s">
        <v>27</v>
      </c>
      <c r="N248" s="101" t="s">
        <v>21</v>
      </c>
      <c r="O248" s="101">
        <v>2019</v>
      </c>
      <c r="P248" s="168" t="s">
        <v>27</v>
      </c>
    </row>
    <row r="249" spans="1:16" ht="19.5" x14ac:dyDescent="0.25">
      <c r="A249" s="101"/>
      <c r="B249" s="507" t="s">
        <v>22</v>
      </c>
      <c r="C249" s="507"/>
      <c r="D249" s="169"/>
      <c r="E249" s="47"/>
      <c r="F249" s="98">
        <f>F248</f>
        <v>12575.986000000001</v>
      </c>
      <c r="G249" s="249">
        <f>G248</f>
        <v>12575.986000000001</v>
      </c>
      <c r="H249" s="47"/>
      <c r="I249" s="47"/>
      <c r="J249" s="47"/>
      <c r="K249" s="92">
        <v>0</v>
      </c>
      <c r="L249" s="47"/>
      <c r="M249" s="101"/>
      <c r="N249" s="101"/>
      <c r="O249" s="47"/>
      <c r="P249" s="168"/>
    </row>
    <row r="250" spans="1:16" ht="37.5" x14ac:dyDescent="0.25">
      <c r="A250" s="101">
        <v>88</v>
      </c>
      <c r="B250" s="117" t="s">
        <v>369</v>
      </c>
      <c r="C250" s="182" t="s">
        <v>366</v>
      </c>
      <c r="D250" s="182" t="s">
        <v>367</v>
      </c>
      <c r="E250" s="101" t="s">
        <v>380</v>
      </c>
      <c r="F250" s="67">
        <v>29.438199999999998</v>
      </c>
      <c r="G250" s="248">
        <v>29.438199999999998</v>
      </c>
      <c r="H250" s="107" t="s">
        <v>427</v>
      </c>
      <c r="I250" s="69" t="s">
        <v>368</v>
      </c>
      <c r="J250" s="73">
        <v>473</v>
      </c>
      <c r="K250" s="248">
        <v>4.7300000000000004</v>
      </c>
      <c r="L250" s="73"/>
      <c r="M250" s="101" t="s">
        <v>499</v>
      </c>
      <c r="N250" s="101" t="s">
        <v>21</v>
      </c>
      <c r="O250" s="107">
        <v>2019</v>
      </c>
      <c r="P250" s="168" t="s">
        <v>499</v>
      </c>
    </row>
    <row r="251" spans="1:16" ht="19.5" x14ac:dyDescent="0.25">
      <c r="A251" s="101"/>
      <c r="B251" s="507" t="s">
        <v>22</v>
      </c>
      <c r="C251" s="507"/>
      <c r="D251" s="169"/>
      <c r="E251" s="47"/>
      <c r="F251" s="88">
        <v>29.438199999999998</v>
      </c>
      <c r="G251" s="92">
        <v>29.438199999999998</v>
      </c>
      <c r="H251" s="47"/>
      <c r="I251" s="47"/>
      <c r="J251" s="47"/>
      <c r="K251" s="249">
        <v>4.7300000000000004</v>
      </c>
      <c r="L251" s="47"/>
      <c r="M251" s="101"/>
      <c r="N251" s="101"/>
      <c r="O251" s="47"/>
      <c r="P251" s="168"/>
    </row>
    <row r="252" spans="1:16" ht="93.75" x14ac:dyDescent="0.25">
      <c r="A252" s="101">
        <v>89</v>
      </c>
      <c r="B252" s="120" t="s">
        <v>373</v>
      </c>
      <c r="C252" s="182" t="s">
        <v>372</v>
      </c>
      <c r="D252" s="182" t="s">
        <v>348</v>
      </c>
      <c r="E252" s="107" t="s">
        <v>374</v>
      </c>
      <c r="F252" s="67">
        <v>320</v>
      </c>
      <c r="G252" s="248">
        <v>320</v>
      </c>
      <c r="H252" s="107" t="s">
        <v>427</v>
      </c>
      <c r="I252" s="69" t="s">
        <v>368</v>
      </c>
      <c r="J252" s="73">
        <v>800</v>
      </c>
      <c r="K252" s="248">
        <v>10.4</v>
      </c>
      <c r="L252" s="73">
        <v>3</v>
      </c>
      <c r="M252" s="101" t="s">
        <v>471</v>
      </c>
      <c r="N252" s="101" t="s">
        <v>21</v>
      </c>
      <c r="O252" s="107">
        <v>2019</v>
      </c>
      <c r="P252" s="168" t="s">
        <v>471</v>
      </c>
    </row>
    <row r="253" spans="1:16" ht="19.5" x14ac:dyDescent="0.25">
      <c r="A253" s="101"/>
      <c r="B253" s="507" t="s">
        <v>22</v>
      </c>
      <c r="C253" s="507"/>
      <c r="D253" s="169"/>
      <c r="E253" s="47"/>
      <c r="F253" s="88">
        <v>320</v>
      </c>
      <c r="G253" s="92">
        <v>320</v>
      </c>
      <c r="H253" s="47"/>
      <c r="I253" s="47"/>
      <c r="J253" s="47"/>
      <c r="K253" s="249">
        <v>10.4</v>
      </c>
      <c r="L253" s="47"/>
      <c r="M253" s="101"/>
      <c r="N253" s="101"/>
      <c r="O253" s="47"/>
      <c r="P253" s="168"/>
    </row>
    <row r="254" spans="1:16" ht="74.099999999999994" customHeight="1" x14ac:dyDescent="0.25">
      <c r="A254" s="101">
        <v>90</v>
      </c>
      <c r="B254" s="120" t="s">
        <v>373</v>
      </c>
      <c r="C254" s="182" t="s">
        <v>375</v>
      </c>
      <c r="D254" s="182" t="s">
        <v>376</v>
      </c>
      <c r="E254" s="107" t="s">
        <v>377</v>
      </c>
      <c r="F254" s="67">
        <v>35</v>
      </c>
      <c r="G254" s="248">
        <v>35</v>
      </c>
      <c r="H254" s="107" t="s">
        <v>427</v>
      </c>
      <c r="I254" s="69" t="s">
        <v>368</v>
      </c>
      <c r="J254" s="73">
        <v>565</v>
      </c>
      <c r="K254" s="248">
        <v>11.7</v>
      </c>
      <c r="L254" s="73">
        <v>3</v>
      </c>
      <c r="M254" s="101" t="s">
        <v>471</v>
      </c>
      <c r="N254" s="101" t="s">
        <v>21</v>
      </c>
      <c r="O254" s="107">
        <v>2019</v>
      </c>
      <c r="P254" s="168" t="s">
        <v>471</v>
      </c>
    </row>
    <row r="255" spans="1:16" ht="19.5" x14ac:dyDescent="0.25">
      <c r="A255" s="101"/>
      <c r="B255" s="507" t="s">
        <v>22</v>
      </c>
      <c r="C255" s="507"/>
      <c r="D255" s="169"/>
      <c r="E255" s="47"/>
      <c r="F255" s="88">
        <v>35</v>
      </c>
      <c r="G255" s="92">
        <v>35</v>
      </c>
      <c r="H255" s="47"/>
      <c r="I255" s="47"/>
      <c r="J255" s="47"/>
      <c r="K255" s="249">
        <v>11.7</v>
      </c>
      <c r="L255" s="47"/>
      <c r="M255" s="101"/>
      <c r="N255" s="101"/>
      <c r="O255" s="47"/>
      <c r="P255" s="168"/>
    </row>
    <row r="256" spans="1:16" ht="56.25" x14ac:dyDescent="0.25">
      <c r="A256" s="101">
        <v>91</v>
      </c>
      <c r="B256" s="120" t="s">
        <v>379</v>
      </c>
      <c r="C256" s="182" t="s">
        <v>378</v>
      </c>
      <c r="D256" s="182" t="s">
        <v>348</v>
      </c>
      <c r="E256" s="107" t="s">
        <v>380</v>
      </c>
      <c r="F256" s="67">
        <v>5.1870000000000003</v>
      </c>
      <c r="G256" s="248">
        <v>5.1870000000000003</v>
      </c>
      <c r="H256" s="107" t="s">
        <v>1046</v>
      </c>
      <c r="I256" s="69" t="s">
        <v>133</v>
      </c>
      <c r="J256" s="73">
        <v>39.9</v>
      </c>
      <c r="K256" s="248">
        <v>0.86099999999999999</v>
      </c>
      <c r="L256" s="73">
        <v>15</v>
      </c>
      <c r="M256" s="101" t="s">
        <v>446</v>
      </c>
      <c r="N256" s="101" t="s">
        <v>312</v>
      </c>
      <c r="O256" s="107">
        <v>2019</v>
      </c>
      <c r="P256" s="168" t="s">
        <v>446</v>
      </c>
    </row>
    <row r="257" spans="1:16" ht="19.5" x14ac:dyDescent="0.25">
      <c r="A257" s="101"/>
      <c r="B257" s="507" t="s">
        <v>22</v>
      </c>
      <c r="C257" s="507"/>
      <c r="D257" s="169"/>
      <c r="E257" s="47"/>
      <c r="F257" s="88">
        <v>5.1870000000000003</v>
      </c>
      <c r="G257" s="92">
        <v>5.1870000000000003</v>
      </c>
      <c r="H257" s="47"/>
      <c r="I257" s="47"/>
      <c r="J257" s="47"/>
      <c r="K257" s="249">
        <v>0.86099999999999999</v>
      </c>
      <c r="L257" s="47"/>
      <c r="M257" s="101"/>
      <c r="N257" s="101"/>
      <c r="O257" s="47"/>
      <c r="P257" s="168"/>
    </row>
    <row r="258" spans="1:16" ht="56.25" x14ac:dyDescent="0.25">
      <c r="A258" s="101">
        <v>92</v>
      </c>
      <c r="B258" s="120" t="s">
        <v>379</v>
      </c>
      <c r="C258" s="182" t="s">
        <v>381</v>
      </c>
      <c r="D258" s="182" t="s">
        <v>348</v>
      </c>
      <c r="E258" s="107" t="s">
        <v>380</v>
      </c>
      <c r="F258" s="67">
        <v>10.109</v>
      </c>
      <c r="G258" s="248">
        <v>10.109</v>
      </c>
      <c r="H258" s="107" t="s">
        <v>1046</v>
      </c>
      <c r="I258" s="69" t="s">
        <v>133</v>
      </c>
      <c r="J258" s="73">
        <v>77.8</v>
      </c>
      <c r="K258" s="248">
        <v>1.6780999999999999</v>
      </c>
      <c r="L258" s="73">
        <v>15</v>
      </c>
      <c r="M258" s="101" t="s">
        <v>446</v>
      </c>
      <c r="N258" s="101" t="s">
        <v>312</v>
      </c>
      <c r="O258" s="107">
        <v>2019</v>
      </c>
      <c r="P258" s="168" t="s">
        <v>446</v>
      </c>
    </row>
    <row r="259" spans="1:16" ht="19.5" x14ac:dyDescent="0.25">
      <c r="A259" s="101"/>
      <c r="B259" s="507" t="s">
        <v>22</v>
      </c>
      <c r="C259" s="507"/>
      <c r="D259" s="169"/>
      <c r="E259" s="47"/>
      <c r="F259" s="88">
        <v>10.109</v>
      </c>
      <c r="G259" s="92">
        <v>10.109</v>
      </c>
      <c r="H259" s="47"/>
      <c r="I259" s="47"/>
      <c r="J259" s="47"/>
      <c r="K259" s="249">
        <v>1.6780999999999999</v>
      </c>
      <c r="L259" s="47"/>
      <c r="M259" s="101"/>
      <c r="N259" s="101"/>
      <c r="O259" s="47"/>
      <c r="P259" s="168"/>
    </row>
    <row r="260" spans="1:16" ht="56.25" x14ac:dyDescent="0.25">
      <c r="A260" s="101">
        <v>93</v>
      </c>
      <c r="B260" s="120" t="s">
        <v>379</v>
      </c>
      <c r="C260" s="182" t="s">
        <v>382</v>
      </c>
      <c r="D260" s="182" t="s">
        <v>348</v>
      </c>
      <c r="E260" s="107" t="s">
        <v>380</v>
      </c>
      <c r="F260" s="67">
        <v>9.44</v>
      </c>
      <c r="G260" s="248">
        <v>9.44</v>
      </c>
      <c r="H260" s="107" t="s">
        <v>1046</v>
      </c>
      <c r="I260" s="69" t="s">
        <v>133</v>
      </c>
      <c r="J260" s="73">
        <v>72.7</v>
      </c>
      <c r="K260" s="248">
        <v>1.5669999999999999</v>
      </c>
      <c r="L260" s="73">
        <v>15</v>
      </c>
      <c r="M260" s="101" t="s">
        <v>446</v>
      </c>
      <c r="N260" s="101" t="s">
        <v>312</v>
      </c>
      <c r="O260" s="107">
        <v>2019</v>
      </c>
      <c r="P260" s="168" t="s">
        <v>446</v>
      </c>
    </row>
    <row r="261" spans="1:16" ht="19.5" x14ac:dyDescent="0.25">
      <c r="A261" s="101"/>
      <c r="B261" s="507" t="s">
        <v>22</v>
      </c>
      <c r="C261" s="507"/>
      <c r="D261" s="169"/>
      <c r="E261" s="47"/>
      <c r="F261" s="88">
        <v>9.44</v>
      </c>
      <c r="G261" s="92">
        <v>9.44</v>
      </c>
      <c r="H261" s="47"/>
      <c r="I261" s="47"/>
      <c r="J261" s="47"/>
      <c r="K261" s="249">
        <v>1.5669999999999999</v>
      </c>
      <c r="L261" s="47"/>
      <c r="M261" s="101"/>
      <c r="N261" s="101"/>
      <c r="O261" s="47"/>
      <c r="P261" s="168"/>
    </row>
    <row r="262" spans="1:16" ht="56.25" x14ac:dyDescent="0.25">
      <c r="A262" s="101">
        <v>94</v>
      </c>
      <c r="B262" s="120" t="s">
        <v>379</v>
      </c>
      <c r="C262" s="182" t="s">
        <v>383</v>
      </c>
      <c r="D262" s="182" t="s">
        <v>348</v>
      </c>
      <c r="E262" s="107" t="s">
        <v>380</v>
      </c>
      <c r="F262" s="67">
        <v>9.5519999999999996</v>
      </c>
      <c r="G262" s="248">
        <v>9.5519999999999996</v>
      </c>
      <c r="H262" s="107" t="s">
        <v>1046</v>
      </c>
      <c r="I262" s="69" t="s">
        <v>133</v>
      </c>
      <c r="J262" s="73">
        <v>73.5</v>
      </c>
      <c r="K262" s="248">
        <v>1.5855999999999999</v>
      </c>
      <c r="L262" s="73">
        <v>15</v>
      </c>
      <c r="M262" s="101" t="s">
        <v>446</v>
      </c>
      <c r="N262" s="101" t="s">
        <v>312</v>
      </c>
      <c r="O262" s="107">
        <v>2019</v>
      </c>
      <c r="P262" s="168" t="s">
        <v>446</v>
      </c>
    </row>
    <row r="263" spans="1:16" ht="19.5" x14ac:dyDescent="0.25">
      <c r="A263" s="101"/>
      <c r="B263" s="507" t="s">
        <v>22</v>
      </c>
      <c r="C263" s="507"/>
      <c r="D263" s="169"/>
      <c r="E263" s="47"/>
      <c r="F263" s="88">
        <v>9.5519999999999996</v>
      </c>
      <c r="G263" s="92">
        <v>9.5519999999999996</v>
      </c>
      <c r="H263" s="47"/>
      <c r="I263" s="47"/>
      <c r="J263" s="47"/>
      <c r="K263" s="249">
        <v>1.5855999999999999</v>
      </c>
      <c r="L263" s="47"/>
      <c r="M263" s="101"/>
      <c r="N263" s="101"/>
      <c r="O263" s="47"/>
      <c r="P263" s="168"/>
    </row>
    <row r="264" spans="1:16" ht="75" x14ac:dyDescent="0.25">
      <c r="A264" s="101">
        <v>95</v>
      </c>
      <c r="B264" s="120" t="s">
        <v>379</v>
      </c>
      <c r="C264" s="182" t="s">
        <v>384</v>
      </c>
      <c r="D264" s="182" t="s">
        <v>348</v>
      </c>
      <c r="E264" s="107" t="s">
        <v>380</v>
      </c>
      <c r="F264" s="67">
        <f>3365/1000</f>
        <v>3.3650000000000002</v>
      </c>
      <c r="G264" s="248">
        <f>3365/1000</f>
        <v>3.3650000000000002</v>
      </c>
      <c r="H264" s="107" t="s">
        <v>1046</v>
      </c>
      <c r="I264" s="69" t="s">
        <v>133</v>
      </c>
      <c r="J264" s="73">
        <v>25.9</v>
      </c>
      <c r="K264" s="248">
        <v>0.55859999999999999</v>
      </c>
      <c r="L264" s="73">
        <v>15</v>
      </c>
      <c r="M264" s="101" t="s">
        <v>446</v>
      </c>
      <c r="N264" s="101" t="s">
        <v>312</v>
      </c>
      <c r="O264" s="107">
        <v>2019</v>
      </c>
      <c r="P264" s="168" t="s">
        <v>446</v>
      </c>
    </row>
    <row r="265" spans="1:16" ht="19.5" x14ac:dyDescent="0.25">
      <c r="A265" s="101"/>
      <c r="B265" s="507" t="s">
        <v>22</v>
      </c>
      <c r="C265" s="507"/>
      <c r="D265" s="169"/>
      <c r="E265" s="47"/>
      <c r="F265" s="88">
        <f>F264</f>
        <v>3.3650000000000002</v>
      </c>
      <c r="G265" s="92">
        <f>G264</f>
        <v>3.3650000000000002</v>
      </c>
      <c r="H265" s="47"/>
      <c r="I265" s="47"/>
      <c r="J265" s="47"/>
      <c r="K265" s="249">
        <v>0.55859999999999999</v>
      </c>
      <c r="L265" s="47"/>
      <c r="M265" s="101"/>
      <c r="N265" s="101"/>
      <c r="O265" s="47"/>
      <c r="P265" s="168"/>
    </row>
    <row r="266" spans="1:16" ht="75" x14ac:dyDescent="0.25">
      <c r="A266" s="101">
        <v>96</v>
      </c>
      <c r="B266" s="120" t="s">
        <v>379</v>
      </c>
      <c r="C266" s="182" t="s">
        <v>385</v>
      </c>
      <c r="D266" s="182" t="s">
        <v>348</v>
      </c>
      <c r="E266" s="107" t="s">
        <v>380</v>
      </c>
      <c r="F266" s="67">
        <v>4.8289999999999997</v>
      </c>
      <c r="G266" s="248">
        <v>4.8289999999999997</v>
      </c>
      <c r="H266" s="107" t="s">
        <v>1046</v>
      </c>
      <c r="I266" s="69" t="s">
        <v>133</v>
      </c>
      <c r="J266" s="73">
        <v>37.200000000000003</v>
      </c>
      <c r="K266" s="248">
        <v>0.80159999999999998</v>
      </c>
      <c r="L266" s="73">
        <v>15</v>
      </c>
      <c r="M266" s="101" t="s">
        <v>446</v>
      </c>
      <c r="N266" s="101" t="s">
        <v>312</v>
      </c>
      <c r="O266" s="107">
        <v>2019</v>
      </c>
      <c r="P266" s="168" t="s">
        <v>446</v>
      </c>
    </row>
    <row r="267" spans="1:16" ht="19.5" x14ac:dyDescent="0.25">
      <c r="A267" s="101"/>
      <c r="B267" s="507" t="s">
        <v>22</v>
      </c>
      <c r="C267" s="507"/>
      <c r="D267" s="169"/>
      <c r="E267" s="47"/>
      <c r="F267" s="88">
        <v>4.8289999999999997</v>
      </c>
      <c r="G267" s="92">
        <v>4.8289999999999997</v>
      </c>
      <c r="H267" s="47"/>
      <c r="I267" s="47"/>
      <c r="J267" s="47"/>
      <c r="K267" s="249">
        <v>0.80159999999999998</v>
      </c>
      <c r="L267" s="47"/>
      <c r="M267" s="101"/>
      <c r="N267" s="101"/>
      <c r="O267" s="47"/>
      <c r="P267" s="168"/>
    </row>
    <row r="268" spans="1:16" ht="75" x14ac:dyDescent="0.25">
      <c r="A268" s="101">
        <v>97</v>
      </c>
      <c r="B268" s="120" t="s">
        <v>379</v>
      </c>
      <c r="C268" s="182" t="s">
        <v>386</v>
      </c>
      <c r="D268" s="182" t="s">
        <v>348</v>
      </c>
      <c r="E268" s="107" t="s">
        <v>380</v>
      </c>
      <c r="F268" s="67">
        <v>4.4489999999999998</v>
      </c>
      <c r="G268" s="248">
        <v>4.4489999999999998</v>
      </c>
      <c r="H268" s="107" t="s">
        <v>1046</v>
      </c>
      <c r="I268" s="69" t="s">
        <v>133</v>
      </c>
      <c r="J268" s="73">
        <v>34.200000000000003</v>
      </c>
      <c r="K268" s="248">
        <v>0.73850000000000005</v>
      </c>
      <c r="L268" s="73">
        <v>15</v>
      </c>
      <c r="M268" s="101" t="s">
        <v>446</v>
      </c>
      <c r="N268" s="101" t="s">
        <v>312</v>
      </c>
      <c r="O268" s="107">
        <v>2019</v>
      </c>
      <c r="P268" s="168" t="s">
        <v>446</v>
      </c>
    </row>
    <row r="269" spans="1:16" ht="19.5" x14ac:dyDescent="0.25">
      <c r="A269" s="101"/>
      <c r="B269" s="507" t="s">
        <v>22</v>
      </c>
      <c r="C269" s="507"/>
      <c r="D269" s="169"/>
      <c r="E269" s="47"/>
      <c r="F269" s="88">
        <v>4.4489999999999998</v>
      </c>
      <c r="G269" s="92">
        <v>4.4489999999999998</v>
      </c>
      <c r="H269" s="47"/>
      <c r="I269" s="47"/>
      <c r="J269" s="47"/>
      <c r="K269" s="249">
        <v>0.73850000000000005</v>
      </c>
      <c r="L269" s="47"/>
      <c r="M269" s="101"/>
      <c r="N269" s="101"/>
      <c r="O269" s="47"/>
      <c r="P269" s="168"/>
    </row>
    <row r="270" spans="1:16" ht="56.25" x14ac:dyDescent="0.25">
      <c r="A270" s="101">
        <v>98</v>
      </c>
      <c r="B270" s="120" t="s">
        <v>379</v>
      </c>
      <c r="C270" s="182" t="s">
        <v>387</v>
      </c>
      <c r="D270" s="182" t="s">
        <v>348</v>
      </c>
      <c r="E270" s="107" t="s">
        <v>380</v>
      </c>
      <c r="F270" s="67">
        <v>5.2640000000000002</v>
      </c>
      <c r="G270" s="248">
        <v>5.2640000000000002</v>
      </c>
      <c r="H270" s="107" t="s">
        <v>1046</v>
      </c>
      <c r="I270" s="69" t="s">
        <v>133</v>
      </c>
      <c r="J270" s="73">
        <v>40.5</v>
      </c>
      <c r="K270" s="248">
        <v>0.87380000000000002</v>
      </c>
      <c r="L270" s="73">
        <v>15</v>
      </c>
      <c r="M270" s="101" t="s">
        <v>446</v>
      </c>
      <c r="N270" s="101" t="s">
        <v>312</v>
      </c>
      <c r="O270" s="107">
        <v>2019</v>
      </c>
      <c r="P270" s="168" t="s">
        <v>446</v>
      </c>
    </row>
    <row r="271" spans="1:16" ht="19.5" x14ac:dyDescent="0.25">
      <c r="A271" s="101"/>
      <c r="B271" s="507" t="s">
        <v>22</v>
      </c>
      <c r="C271" s="507"/>
      <c r="D271" s="169"/>
      <c r="E271" s="47"/>
      <c r="F271" s="88">
        <v>5.2640000000000002</v>
      </c>
      <c r="G271" s="92">
        <v>5.2640000000000002</v>
      </c>
      <c r="H271" s="47"/>
      <c r="I271" s="47"/>
      <c r="J271" s="47"/>
      <c r="K271" s="249">
        <v>0.87380000000000002</v>
      </c>
      <c r="L271" s="47"/>
      <c r="M271" s="101"/>
      <c r="N271" s="101"/>
      <c r="O271" s="47"/>
      <c r="P271" s="168"/>
    </row>
    <row r="272" spans="1:16" ht="75" x14ac:dyDescent="0.25">
      <c r="A272" s="101">
        <v>99</v>
      </c>
      <c r="B272" s="120" t="s">
        <v>379</v>
      </c>
      <c r="C272" s="182" t="s">
        <v>388</v>
      </c>
      <c r="D272" s="182" t="s">
        <v>348</v>
      </c>
      <c r="E272" s="107" t="s">
        <v>380</v>
      </c>
      <c r="F272" s="67">
        <v>5.86</v>
      </c>
      <c r="G272" s="248">
        <v>5.86</v>
      </c>
      <c r="H272" s="107" t="s">
        <v>1046</v>
      </c>
      <c r="I272" s="69" t="s">
        <v>133</v>
      </c>
      <c r="J272" s="73">
        <v>45.1</v>
      </c>
      <c r="K272" s="248">
        <v>0.9728</v>
      </c>
      <c r="L272" s="73">
        <v>15</v>
      </c>
      <c r="M272" s="101" t="s">
        <v>446</v>
      </c>
      <c r="N272" s="101" t="s">
        <v>312</v>
      </c>
      <c r="O272" s="107">
        <v>2019</v>
      </c>
      <c r="P272" s="168" t="s">
        <v>446</v>
      </c>
    </row>
    <row r="273" spans="1:16" ht="19.5" x14ac:dyDescent="0.25">
      <c r="A273" s="101"/>
      <c r="B273" s="507" t="s">
        <v>22</v>
      </c>
      <c r="C273" s="507"/>
      <c r="D273" s="169"/>
      <c r="E273" s="47"/>
      <c r="F273" s="88">
        <v>5.86</v>
      </c>
      <c r="G273" s="92">
        <v>5.86</v>
      </c>
      <c r="H273" s="47"/>
      <c r="I273" s="47"/>
      <c r="J273" s="47"/>
      <c r="K273" s="249">
        <v>0.9728</v>
      </c>
      <c r="L273" s="47"/>
      <c r="M273" s="101"/>
      <c r="N273" s="101"/>
      <c r="O273" s="47"/>
      <c r="P273" s="168"/>
    </row>
    <row r="274" spans="1:16" ht="56.25" x14ac:dyDescent="0.25">
      <c r="A274" s="101">
        <v>100</v>
      </c>
      <c r="B274" s="120" t="s">
        <v>379</v>
      </c>
      <c r="C274" s="182" t="s">
        <v>389</v>
      </c>
      <c r="D274" s="182" t="s">
        <v>348</v>
      </c>
      <c r="E274" s="107" t="s">
        <v>380</v>
      </c>
      <c r="F274" s="67">
        <v>4.4210000000000003</v>
      </c>
      <c r="G274" s="248">
        <v>4.4210000000000003</v>
      </c>
      <c r="H274" s="107" t="s">
        <v>1046</v>
      </c>
      <c r="I274" s="69" t="s">
        <v>133</v>
      </c>
      <c r="J274" s="73">
        <v>34</v>
      </c>
      <c r="K274" s="248">
        <v>0.7339</v>
      </c>
      <c r="L274" s="73">
        <v>15</v>
      </c>
      <c r="M274" s="101" t="s">
        <v>446</v>
      </c>
      <c r="N274" s="101" t="s">
        <v>312</v>
      </c>
      <c r="O274" s="107">
        <v>2019</v>
      </c>
      <c r="P274" s="168" t="s">
        <v>446</v>
      </c>
    </row>
    <row r="275" spans="1:16" ht="19.5" x14ac:dyDescent="0.25">
      <c r="A275" s="101"/>
      <c r="B275" s="507" t="s">
        <v>22</v>
      </c>
      <c r="C275" s="507"/>
      <c r="D275" s="169"/>
      <c r="E275" s="47"/>
      <c r="F275" s="88">
        <v>4.4210000000000003</v>
      </c>
      <c r="G275" s="92">
        <v>4.4210000000000003</v>
      </c>
      <c r="H275" s="47"/>
      <c r="I275" s="47"/>
      <c r="J275" s="47"/>
      <c r="K275" s="249">
        <v>0.7339</v>
      </c>
      <c r="L275" s="47"/>
      <c r="M275" s="101"/>
      <c r="N275" s="101"/>
      <c r="O275" s="47"/>
      <c r="P275" s="168"/>
    </row>
    <row r="276" spans="1:16" ht="56.25" x14ac:dyDescent="0.25">
      <c r="A276" s="101">
        <v>101</v>
      </c>
      <c r="B276" s="120" t="s">
        <v>379</v>
      </c>
      <c r="C276" s="182" t="s">
        <v>390</v>
      </c>
      <c r="D276" s="182" t="s">
        <v>348</v>
      </c>
      <c r="E276" s="107" t="s">
        <v>380</v>
      </c>
      <c r="F276" s="67">
        <v>5.3979999999999997</v>
      </c>
      <c r="G276" s="248">
        <v>5.3979999999999997</v>
      </c>
      <c r="H276" s="107" t="s">
        <v>1046</v>
      </c>
      <c r="I276" s="69" t="s">
        <v>133</v>
      </c>
      <c r="J276" s="73">
        <v>41.6</v>
      </c>
      <c r="K276" s="248">
        <v>0.89610000000000001</v>
      </c>
      <c r="L276" s="73">
        <v>15</v>
      </c>
      <c r="M276" s="101" t="s">
        <v>446</v>
      </c>
      <c r="N276" s="101" t="s">
        <v>312</v>
      </c>
      <c r="O276" s="107">
        <v>2019</v>
      </c>
      <c r="P276" s="168" t="s">
        <v>446</v>
      </c>
    </row>
    <row r="277" spans="1:16" ht="19.5" x14ac:dyDescent="0.25">
      <c r="A277" s="101"/>
      <c r="B277" s="507" t="s">
        <v>22</v>
      </c>
      <c r="C277" s="507"/>
      <c r="D277" s="169"/>
      <c r="E277" s="47"/>
      <c r="F277" s="88">
        <v>5.3979999999999997</v>
      </c>
      <c r="G277" s="92">
        <v>5.3979999999999997</v>
      </c>
      <c r="H277" s="47"/>
      <c r="I277" s="47"/>
      <c r="J277" s="47"/>
      <c r="K277" s="249">
        <v>0.89610000000000001</v>
      </c>
      <c r="L277" s="47"/>
      <c r="M277" s="101"/>
      <c r="N277" s="101"/>
      <c r="O277" s="47"/>
      <c r="P277" s="168"/>
    </row>
    <row r="278" spans="1:16" ht="56.25" x14ac:dyDescent="0.25">
      <c r="A278" s="101">
        <v>102</v>
      </c>
      <c r="B278" s="120" t="s">
        <v>379</v>
      </c>
      <c r="C278" s="182" t="s">
        <v>391</v>
      </c>
      <c r="D278" s="182" t="s">
        <v>348</v>
      </c>
      <c r="E278" s="107" t="s">
        <v>380</v>
      </c>
      <c r="F278" s="67">
        <v>5.0720000000000001</v>
      </c>
      <c r="G278" s="248">
        <v>5.0720000000000001</v>
      </c>
      <c r="H278" s="107" t="s">
        <v>1046</v>
      </c>
      <c r="I278" s="69" t="s">
        <v>133</v>
      </c>
      <c r="J278" s="73">
        <v>39</v>
      </c>
      <c r="K278" s="248">
        <v>0.84199999999999997</v>
      </c>
      <c r="L278" s="73">
        <v>15</v>
      </c>
      <c r="M278" s="101" t="s">
        <v>446</v>
      </c>
      <c r="N278" s="101" t="s">
        <v>312</v>
      </c>
      <c r="O278" s="107">
        <v>2019</v>
      </c>
      <c r="P278" s="168" t="s">
        <v>446</v>
      </c>
    </row>
    <row r="279" spans="1:16" ht="19.5" x14ac:dyDescent="0.25">
      <c r="A279" s="101"/>
      <c r="B279" s="507" t="s">
        <v>22</v>
      </c>
      <c r="C279" s="507"/>
      <c r="D279" s="169"/>
      <c r="E279" s="47"/>
      <c r="F279" s="88">
        <v>5.0720000000000001</v>
      </c>
      <c r="G279" s="92">
        <v>5.0720000000000001</v>
      </c>
      <c r="H279" s="47"/>
      <c r="I279" s="47"/>
      <c r="J279" s="47"/>
      <c r="K279" s="249">
        <v>0.84199999999999997</v>
      </c>
      <c r="L279" s="47"/>
      <c r="M279" s="101"/>
      <c r="N279" s="101"/>
      <c r="O279" s="47"/>
      <c r="P279" s="168"/>
    </row>
    <row r="280" spans="1:16" ht="56.25" x14ac:dyDescent="0.25">
      <c r="A280" s="101">
        <v>103</v>
      </c>
      <c r="B280" s="120" t="s">
        <v>379</v>
      </c>
      <c r="C280" s="182" t="s">
        <v>392</v>
      </c>
      <c r="D280" s="182" t="s">
        <v>348</v>
      </c>
      <c r="E280" s="107" t="s">
        <v>380</v>
      </c>
      <c r="F280" s="67">
        <v>6.2009999999999996</v>
      </c>
      <c r="G280" s="248">
        <v>6.2009999999999996</v>
      </c>
      <c r="H280" s="107" t="s">
        <v>1046</v>
      </c>
      <c r="I280" s="69" t="s">
        <v>133</v>
      </c>
      <c r="J280" s="73">
        <v>47.7</v>
      </c>
      <c r="K280" s="248">
        <v>1.0294000000000001</v>
      </c>
      <c r="L280" s="73">
        <v>15</v>
      </c>
      <c r="M280" s="101" t="s">
        <v>446</v>
      </c>
      <c r="N280" s="101" t="s">
        <v>312</v>
      </c>
      <c r="O280" s="107">
        <v>2019</v>
      </c>
      <c r="P280" s="168" t="s">
        <v>446</v>
      </c>
    </row>
    <row r="281" spans="1:16" ht="19.5" x14ac:dyDescent="0.25">
      <c r="A281" s="101"/>
      <c r="B281" s="507" t="s">
        <v>22</v>
      </c>
      <c r="C281" s="507"/>
      <c r="D281" s="169"/>
      <c r="E281" s="47"/>
      <c r="F281" s="88">
        <v>6.2009999999999996</v>
      </c>
      <c r="G281" s="92">
        <v>6.2009999999999996</v>
      </c>
      <c r="H281" s="47"/>
      <c r="I281" s="47"/>
      <c r="J281" s="47"/>
      <c r="K281" s="249">
        <v>1.0294000000000001</v>
      </c>
      <c r="L281" s="47"/>
      <c r="M281" s="101"/>
      <c r="N281" s="101"/>
      <c r="O281" s="47"/>
      <c r="P281" s="168"/>
    </row>
    <row r="282" spans="1:16" ht="56.25" x14ac:dyDescent="0.25">
      <c r="A282" s="101">
        <v>104</v>
      </c>
      <c r="B282" s="120" t="s">
        <v>379</v>
      </c>
      <c r="C282" s="182" t="s">
        <v>393</v>
      </c>
      <c r="D282" s="182" t="s">
        <v>348</v>
      </c>
      <c r="E282" s="107" t="s">
        <v>380</v>
      </c>
      <c r="F282" s="67">
        <v>5.73</v>
      </c>
      <c r="G282" s="248">
        <v>5.73</v>
      </c>
      <c r="H282" s="107" t="s">
        <v>1046</v>
      </c>
      <c r="I282" s="69" t="s">
        <v>133</v>
      </c>
      <c r="J282" s="73">
        <v>44.1</v>
      </c>
      <c r="K282" s="248">
        <v>0.95120000000000005</v>
      </c>
      <c r="L282" s="73">
        <v>15</v>
      </c>
      <c r="M282" s="101" t="s">
        <v>446</v>
      </c>
      <c r="N282" s="101" t="s">
        <v>312</v>
      </c>
      <c r="O282" s="107">
        <v>2019</v>
      </c>
      <c r="P282" s="168" t="s">
        <v>446</v>
      </c>
    </row>
    <row r="283" spans="1:16" ht="19.5" x14ac:dyDescent="0.25">
      <c r="A283" s="101"/>
      <c r="B283" s="507" t="s">
        <v>22</v>
      </c>
      <c r="C283" s="507"/>
      <c r="D283" s="169"/>
      <c r="E283" s="47"/>
      <c r="F283" s="88">
        <v>5.73</v>
      </c>
      <c r="G283" s="92">
        <v>5.73</v>
      </c>
      <c r="H283" s="47"/>
      <c r="I283" s="47"/>
      <c r="J283" s="47"/>
      <c r="K283" s="249">
        <v>0.95120000000000005</v>
      </c>
      <c r="L283" s="47"/>
      <c r="M283" s="101"/>
      <c r="N283" s="101"/>
      <c r="O283" s="47"/>
      <c r="P283" s="168"/>
    </row>
    <row r="284" spans="1:16" ht="56.25" x14ac:dyDescent="0.25">
      <c r="A284" s="101">
        <v>105</v>
      </c>
      <c r="B284" s="120" t="s">
        <v>379</v>
      </c>
      <c r="C284" s="182" t="s">
        <v>394</v>
      </c>
      <c r="D284" s="182" t="s">
        <v>348</v>
      </c>
      <c r="E284" s="107" t="s">
        <v>380</v>
      </c>
      <c r="F284" s="67">
        <v>8.1229999999999993</v>
      </c>
      <c r="G284" s="248">
        <v>8.1229999999999993</v>
      </c>
      <c r="H284" s="107" t="s">
        <v>1046</v>
      </c>
      <c r="I284" s="69" t="s">
        <v>133</v>
      </c>
      <c r="J284" s="73">
        <v>62.5</v>
      </c>
      <c r="K284" s="248">
        <v>1.3484</v>
      </c>
      <c r="L284" s="73">
        <v>15</v>
      </c>
      <c r="M284" s="101" t="s">
        <v>446</v>
      </c>
      <c r="N284" s="101" t="s">
        <v>312</v>
      </c>
      <c r="O284" s="107">
        <v>2019</v>
      </c>
      <c r="P284" s="168" t="s">
        <v>446</v>
      </c>
    </row>
    <row r="285" spans="1:16" ht="19.5" x14ac:dyDescent="0.25">
      <c r="A285" s="101"/>
      <c r="B285" s="507" t="s">
        <v>22</v>
      </c>
      <c r="C285" s="507"/>
      <c r="D285" s="169"/>
      <c r="E285" s="47"/>
      <c r="F285" s="88">
        <v>8.1229999999999993</v>
      </c>
      <c r="G285" s="92">
        <v>8.1229999999999993</v>
      </c>
      <c r="H285" s="47"/>
      <c r="I285" s="47"/>
      <c r="J285" s="47"/>
      <c r="K285" s="249">
        <v>1.3484</v>
      </c>
      <c r="L285" s="47"/>
      <c r="M285" s="101"/>
      <c r="N285" s="101"/>
      <c r="O285" s="47"/>
      <c r="P285" s="168"/>
    </row>
    <row r="286" spans="1:16" ht="75" x14ac:dyDescent="0.25">
      <c r="A286" s="101">
        <v>106</v>
      </c>
      <c r="B286" s="120" t="s">
        <v>379</v>
      </c>
      <c r="C286" s="182" t="s">
        <v>395</v>
      </c>
      <c r="D286" s="182" t="s">
        <v>348</v>
      </c>
      <c r="E286" s="107" t="s">
        <v>380</v>
      </c>
      <c r="F286" s="67">
        <v>4.8250000000000002</v>
      </c>
      <c r="G286" s="248">
        <v>4.8250000000000002</v>
      </c>
      <c r="H286" s="107" t="s">
        <v>1046</v>
      </c>
      <c r="I286" s="69" t="s">
        <v>133</v>
      </c>
      <c r="J286" s="73">
        <v>37.1</v>
      </c>
      <c r="K286" s="248">
        <v>0.80100000000000005</v>
      </c>
      <c r="L286" s="73">
        <v>15</v>
      </c>
      <c r="M286" s="101" t="s">
        <v>446</v>
      </c>
      <c r="N286" s="101" t="s">
        <v>312</v>
      </c>
      <c r="O286" s="107">
        <v>2019</v>
      </c>
      <c r="P286" s="168" t="s">
        <v>446</v>
      </c>
    </row>
    <row r="287" spans="1:16" ht="19.5" x14ac:dyDescent="0.25">
      <c r="A287" s="101"/>
      <c r="B287" s="507" t="s">
        <v>22</v>
      </c>
      <c r="C287" s="507"/>
      <c r="D287" s="169"/>
      <c r="E287" s="47"/>
      <c r="F287" s="88">
        <v>4.8250000000000002</v>
      </c>
      <c r="G287" s="92">
        <v>4.8250000000000002</v>
      </c>
      <c r="H287" s="47"/>
      <c r="I287" s="47"/>
      <c r="J287" s="47"/>
      <c r="K287" s="249">
        <v>0.80100000000000005</v>
      </c>
      <c r="L287" s="47"/>
      <c r="M287" s="101"/>
      <c r="N287" s="101"/>
      <c r="O287" s="47"/>
      <c r="P287" s="168"/>
    </row>
    <row r="288" spans="1:16" ht="56.25" x14ac:dyDescent="0.25">
      <c r="A288" s="101">
        <v>107</v>
      </c>
      <c r="B288" s="120" t="s">
        <v>379</v>
      </c>
      <c r="C288" s="182" t="s">
        <v>396</v>
      </c>
      <c r="D288" s="182" t="s">
        <v>348</v>
      </c>
      <c r="E288" s="107" t="s">
        <v>380</v>
      </c>
      <c r="F288" s="67">
        <v>10.321999999999999</v>
      </c>
      <c r="G288" s="248">
        <v>10.321999999999999</v>
      </c>
      <c r="H288" s="107" t="s">
        <v>1046</v>
      </c>
      <c r="I288" s="69" t="s">
        <v>133</v>
      </c>
      <c r="J288" s="73">
        <v>79.5</v>
      </c>
      <c r="K288" s="248">
        <v>1.7135</v>
      </c>
      <c r="L288" s="73">
        <v>15</v>
      </c>
      <c r="M288" s="101" t="s">
        <v>446</v>
      </c>
      <c r="N288" s="101" t="s">
        <v>312</v>
      </c>
      <c r="O288" s="107">
        <v>2019</v>
      </c>
      <c r="P288" s="168" t="s">
        <v>446</v>
      </c>
    </row>
    <row r="289" spans="1:16" ht="19.5" x14ac:dyDescent="0.25">
      <c r="A289" s="101"/>
      <c r="B289" s="507" t="s">
        <v>22</v>
      </c>
      <c r="C289" s="507"/>
      <c r="D289" s="169"/>
      <c r="E289" s="47"/>
      <c r="F289" s="88">
        <v>10.321999999999999</v>
      </c>
      <c r="G289" s="92">
        <v>10.321999999999999</v>
      </c>
      <c r="H289" s="47"/>
      <c r="I289" s="47"/>
      <c r="J289" s="47"/>
      <c r="K289" s="249">
        <v>1.7135</v>
      </c>
      <c r="L289" s="47"/>
      <c r="M289" s="101"/>
      <c r="N289" s="101"/>
      <c r="O289" s="47"/>
      <c r="P289" s="168"/>
    </row>
    <row r="290" spans="1:16" ht="56.25" x14ac:dyDescent="0.25">
      <c r="A290" s="101">
        <v>108</v>
      </c>
      <c r="B290" s="120" t="s">
        <v>379</v>
      </c>
      <c r="C290" s="182" t="s">
        <v>397</v>
      </c>
      <c r="D290" s="182" t="s">
        <v>348</v>
      </c>
      <c r="E290" s="107" t="s">
        <v>380</v>
      </c>
      <c r="F290" s="67">
        <v>4.9020000000000001</v>
      </c>
      <c r="G290" s="248">
        <v>4.9020000000000001</v>
      </c>
      <c r="H290" s="107" t="s">
        <v>1046</v>
      </c>
      <c r="I290" s="69" t="s">
        <v>133</v>
      </c>
      <c r="J290" s="73">
        <v>37.700000000000003</v>
      </c>
      <c r="K290" s="248">
        <v>0.81369999999999998</v>
      </c>
      <c r="L290" s="73">
        <v>15</v>
      </c>
      <c r="M290" s="101" t="s">
        <v>446</v>
      </c>
      <c r="N290" s="101" t="s">
        <v>312</v>
      </c>
      <c r="O290" s="107">
        <v>2019</v>
      </c>
      <c r="P290" s="168" t="s">
        <v>446</v>
      </c>
    </row>
    <row r="291" spans="1:16" ht="19.5" x14ac:dyDescent="0.25">
      <c r="A291" s="101"/>
      <c r="B291" s="507" t="s">
        <v>22</v>
      </c>
      <c r="C291" s="507"/>
      <c r="D291" s="169"/>
      <c r="E291" s="47"/>
      <c r="F291" s="88">
        <v>4.9020000000000001</v>
      </c>
      <c r="G291" s="92">
        <v>4.9020000000000001</v>
      </c>
      <c r="H291" s="47"/>
      <c r="I291" s="47"/>
      <c r="J291" s="47"/>
      <c r="K291" s="249">
        <v>0.81369999999999998</v>
      </c>
      <c r="L291" s="47"/>
      <c r="M291" s="101"/>
      <c r="N291" s="101"/>
      <c r="O291" s="47"/>
      <c r="P291" s="168"/>
    </row>
    <row r="292" spans="1:16" ht="56.25" x14ac:dyDescent="0.25">
      <c r="A292" s="101">
        <v>109</v>
      </c>
      <c r="B292" s="120" t="s">
        <v>379</v>
      </c>
      <c r="C292" s="182" t="s">
        <v>398</v>
      </c>
      <c r="D292" s="182" t="s">
        <v>348</v>
      </c>
      <c r="E292" s="107" t="s">
        <v>380</v>
      </c>
      <c r="F292" s="67">
        <v>2.59</v>
      </c>
      <c r="G292" s="248">
        <v>2.59</v>
      </c>
      <c r="H292" s="107" t="s">
        <v>1046</v>
      </c>
      <c r="I292" s="69" t="s">
        <v>133</v>
      </c>
      <c r="J292" s="73">
        <v>19.899999999999999</v>
      </c>
      <c r="K292" s="248">
        <v>0.4299</v>
      </c>
      <c r="L292" s="73">
        <v>15</v>
      </c>
      <c r="M292" s="101" t="s">
        <v>446</v>
      </c>
      <c r="N292" s="101" t="s">
        <v>312</v>
      </c>
      <c r="O292" s="107">
        <v>2019</v>
      </c>
      <c r="P292" s="168" t="s">
        <v>446</v>
      </c>
    </row>
    <row r="293" spans="1:16" ht="19.5" x14ac:dyDescent="0.25">
      <c r="A293" s="101"/>
      <c r="B293" s="507" t="s">
        <v>22</v>
      </c>
      <c r="C293" s="507"/>
      <c r="D293" s="169"/>
      <c r="E293" s="47"/>
      <c r="F293" s="88">
        <v>2.59</v>
      </c>
      <c r="G293" s="92">
        <v>2.59</v>
      </c>
      <c r="H293" s="47"/>
      <c r="I293" s="47"/>
      <c r="J293" s="47"/>
      <c r="K293" s="249">
        <v>0.4299</v>
      </c>
      <c r="L293" s="47"/>
      <c r="M293" s="101"/>
      <c r="N293" s="101"/>
      <c r="O293" s="47"/>
      <c r="P293" s="168"/>
    </row>
    <row r="294" spans="1:16" ht="56.25" x14ac:dyDescent="0.25">
      <c r="A294" s="101">
        <v>110</v>
      </c>
      <c r="B294" s="120" t="s">
        <v>379</v>
      </c>
      <c r="C294" s="182" t="s">
        <v>399</v>
      </c>
      <c r="D294" s="182" t="s">
        <v>348</v>
      </c>
      <c r="E294" s="107" t="s">
        <v>380</v>
      </c>
      <c r="F294" s="67">
        <v>6.0709999999999997</v>
      </c>
      <c r="G294" s="248">
        <v>6.0709999999999997</v>
      </c>
      <c r="H294" s="107" t="s">
        <v>1046</v>
      </c>
      <c r="I294" s="69" t="s">
        <v>133</v>
      </c>
      <c r="J294" s="73">
        <v>46.7</v>
      </c>
      <c r="K294" s="248">
        <v>1.0078</v>
      </c>
      <c r="L294" s="73">
        <v>15</v>
      </c>
      <c r="M294" s="101" t="s">
        <v>446</v>
      </c>
      <c r="N294" s="101" t="s">
        <v>312</v>
      </c>
      <c r="O294" s="107">
        <v>2019</v>
      </c>
      <c r="P294" s="168" t="s">
        <v>446</v>
      </c>
    </row>
    <row r="295" spans="1:16" ht="19.5" x14ac:dyDescent="0.25">
      <c r="A295" s="101"/>
      <c r="B295" s="507" t="s">
        <v>22</v>
      </c>
      <c r="C295" s="507"/>
      <c r="D295" s="169"/>
      <c r="E295" s="47"/>
      <c r="F295" s="88">
        <v>6.0709999999999997</v>
      </c>
      <c r="G295" s="92">
        <v>6.0709999999999997</v>
      </c>
      <c r="H295" s="47"/>
      <c r="I295" s="47"/>
      <c r="J295" s="47"/>
      <c r="K295" s="249">
        <v>1.0078</v>
      </c>
      <c r="L295" s="47"/>
      <c r="M295" s="101"/>
      <c r="N295" s="101"/>
      <c r="O295" s="47"/>
      <c r="P295" s="168"/>
    </row>
    <row r="296" spans="1:16" ht="56.25" x14ac:dyDescent="0.25">
      <c r="A296" s="101">
        <v>111</v>
      </c>
      <c r="B296" s="120" t="s">
        <v>379</v>
      </c>
      <c r="C296" s="182" t="s">
        <v>400</v>
      </c>
      <c r="D296" s="182" t="s">
        <v>348</v>
      </c>
      <c r="E296" s="107" t="s">
        <v>380</v>
      </c>
      <c r="F296" s="67">
        <v>6.2240000000000002</v>
      </c>
      <c r="G296" s="248">
        <v>6.2240000000000002</v>
      </c>
      <c r="H296" s="107" t="s">
        <v>1046</v>
      </c>
      <c r="I296" s="69" t="s">
        <v>133</v>
      </c>
      <c r="J296" s="73">
        <v>47.9</v>
      </c>
      <c r="K296" s="248">
        <v>1.0331999999999999</v>
      </c>
      <c r="L296" s="73">
        <v>15</v>
      </c>
      <c r="M296" s="101" t="s">
        <v>446</v>
      </c>
      <c r="N296" s="101" t="s">
        <v>312</v>
      </c>
      <c r="O296" s="107">
        <v>2019</v>
      </c>
      <c r="P296" s="168" t="s">
        <v>446</v>
      </c>
    </row>
    <row r="297" spans="1:16" ht="19.5" x14ac:dyDescent="0.25">
      <c r="A297" s="101"/>
      <c r="B297" s="507" t="s">
        <v>22</v>
      </c>
      <c r="C297" s="507"/>
      <c r="D297" s="169"/>
      <c r="E297" s="47"/>
      <c r="F297" s="88">
        <v>6.2240000000000002</v>
      </c>
      <c r="G297" s="92">
        <v>6.2240000000000002</v>
      </c>
      <c r="H297" s="47"/>
      <c r="I297" s="47"/>
      <c r="J297" s="47"/>
      <c r="K297" s="249">
        <v>1.0331999999999999</v>
      </c>
      <c r="L297" s="47"/>
      <c r="M297" s="101"/>
      <c r="N297" s="101"/>
      <c r="O297" s="47"/>
      <c r="P297" s="168"/>
    </row>
    <row r="298" spans="1:16" ht="56.25" x14ac:dyDescent="0.25">
      <c r="A298" s="101">
        <v>112</v>
      </c>
      <c r="B298" s="120" t="s">
        <v>379</v>
      </c>
      <c r="C298" s="182" t="s">
        <v>1611</v>
      </c>
      <c r="D298" s="182" t="s">
        <v>348</v>
      </c>
      <c r="E298" s="107" t="s">
        <v>380</v>
      </c>
      <c r="F298" s="67">
        <v>2.6269999999999998</v>
      </c>
      <c r="G298" s="248">
        <v>2.6269999999999998</v>
      </c>
      <c r="H298" s="107" t="s">
        <v>1046</v>
      </c>
      <c r="I298" s="69" t="s">
        <v>133</v>
      </c>
      <c r="J298" s="73">
        <v>20.2</v>
      </c>
      <c r="K298" s="248">
        <v>0.43609999999999999</v>
      </c>
      <c r="L298" s="73">
        <v>15</v>
      </c>
      <c r="M298" s="101" t="s">
        <v>446</v>
      </c>
      <c r="N298" s="101" t="s">
        <v>312</v>
      </c>
      <c r="O298" s="107">
        <v>2019</v>
      </c>
      <c r="P298" s="168" t="s">
        <v>446</v>
      </c>
    </row>
    <row r="299" spans="1:16" ht="19.5" x14ac:dyDescent="0.25">
      <c r="A299" s="101"/>
      <c r="B299" s="507" t="s">
        <v>22</v>
      </c>
      <c r="C299" s="507"/>
      <c r="D299" s="169"/>
      <c r="E299" s="47"/>
      <c r="F299" s="88">
        <v>2.6269999999999998</v>
      </c>
      <c r="G299" s="92">
        <v>2.6269999999999998</v>
      </c>
      <c r="H299" s="47"/>
      <c r="I299" s="47"/>
      <c r="J299" s="47"/>
      <c r="K299" s="249">
        <v>0.43609999999999999</v>
      </c>
      <c r="L299" s="47"/>
      <c r="M299" s="101"/>
      <c r="N299" s="101"/>
      <c r="O299" s="47"/>
      <c r="P299" s="168"/>
    </row>
    <row r="300" spans="1:16" ht="56.25" x14ac:dyDescent="0.25">
      <c r="A300" s="101">
        <v>113</v>
      </c>
      <c r="B300" s="120" t="s">
        <v>379</v>
      </c>
      <c r="C300" s="182" t="s">
        <v>401</v>
      </c>
      <c r="D300" s="182" t="s">
        <v>348</v>
      </c>
      <c r="E300" s="107" t="s">
        <v>380</v>
      </c>
      <c r="F300" s="67">
        <v>8.0340000000000007</v>
      </c>
      <c r="G300" s="248">
        <v>8.0340000000000007</v>
      </c>
      <c r="H300" s="107" t="s">
        <v>1046</v>
      </c>
      <c r="I300" s="69" t="s">
        <v>133</v>
      </c>
      <c r="J300" s="73">
        <v>61.8</v>
      </c>
      <c r="K300" s="248">
        <v>1.3335999999999999</v>
      </c>
      <c r="L300" s="73">
        <v>15</v>
      </c>
      <c r="M300" s="101" t="s">
        <v>446</v>
      </c>
      <c r="N300" s="101" t="s">
        <v>312</v>
      </c>
      <c r="O300" s="107">
        <v>2019</v>
      </c>
      <c r="P300" s="168" t="s">
        <v>446</v>
      </c>
    </row>
    <row r="301" spans="1:16" ht="19.5" x14ac:dyDescent="0.25">
      <c r="A301" s="101"/>
      <c r="B301" s="507" t="s">
        <v>22</v>
      </c>
      <c r="C301" s="507"/>
      <c r="D301" s="169"/>
      <c r="E301" s="47"/>
      <c r="F301" s="88">
        <v>8.0340000000000007</v>
      </c>
      <c r="G301" s="92">
        <v>8.0340000000000007</v>
      </c>
      <c r="H301" s="47"/>
      <c r="I301" s="47"/>
      <c r="J301" s="47"/>
      <c r="K301" s="249">
        <v>1.3335999999999999</v>
      </c>
      <c r="L301" s="47"/>
      <c r="M301" s="101"/>
      <c r="N301" s="101"/>
      <c r="O301" s="47"/>
      <c r="P301" s="168"/>
    </row>
    <row r="302" spans="1:16" ht="56.25" x14ac:dyDescent="0.25">
      <c r="A302" s="101">
        <v>114</v>
      </c>
      <c r="B302" s="120" t="s">
        <v>379</v>
      </c>
      <c r="C302" s="182" t="s">
        <v>402</v>
      </c>
      <c r="D302" s="182" t="s">
        <v>348</v>
      </c>
      <c r="E302" s="107" t="s">
        <v>380</v>
      </c>
      <c r="F302" s="67">
        <v>5.39</v>
      </c>
      <c r="G302" s="248">
        <v>5.39</v>
      </c>
      <c r="H302" s="107" t="s">
        <v>1046</v>
      </c>
      <c r="I302" s="69" t="s">
        <v>133</v>
      </c>
      <c r="J302" s="73">
        <v>41.5</v>
      </c>
      <c r="K302" s="248">
        <v>0.89470000000000005</v>
      </c>
      <c r="L302" s="73">
        <v>15</v>
      </c>
      <c r="M302" s="101" t="s">
        <v>446</v>
      </c>
      <c r="N302" s="101" t="s">
        <v>312</v>
      </c>
      <c r="O302" s="107">
        <v>2019</v>
      </c>
      <c r="P302" s="168" t="s">
        <v>446</v>
      </c>
    </row>
    <row r="303" spans="1:16" ht="19.5" x14ac:dyDescent="0.25">
      <c r="A303" s="101"/>
      <c r="B303" s="507" t="s">
        <v>22</v>
      </c>
      <c r="C303" s="507"/>
      <c r="D303" s="169"/>
      <c r="E303" s="47"/>
      <c r="F303" s="88">
        <v>5.39</v>
      </c>
      <c r="G303" s="92">
        <v>5.39</v>
      </c>
      <c r="H303" s="47"/>
      <c r="I303" s="47"/>
      <c r="J303" s="47"/>
      <c r="K303" s="249">
        <v>0.89470000000000005</v>
      </c>
      <c r="L303" s="47"/>
      <c r="M303" s="101"/>
      <c r="N303" s="101"/>
      <c r="O303" s="47"/>
      <c r="P303" s="168"/>
    </row>
    <row r="304" spans="1:16" ht="56.25" x14ac:dyDescent="0.25">
      <c r="A304" s="74">
        <v>115</v>
      </c>
      <c r="B304" s="120" t="s">
        <v>405</v>
      </c>
      <c r="C304" s="182" t="s">
        <v>403</v>
      </c>
      <c r="D304" s="182" t="s">
        <v>404</v>
      </c>
      <c r="E304" s="107" t="s">
        <v>406</v>
      </c>
      <c r="F304" s="67">
        <v>12.925000000000001</v>
      </c>
      <c r="G304" s="248">
        <v>12.925000000000001</v>
      </c>
      <c r="H304" s="107" t="s">
        <v>427</v>
      </c>
      <c r="I304" s="74" t="s">
        <v>16</v>
      </c>
      <c r="J304" s="74">
        <v>30905</v>
      </c>
      <c r="K304" s="250">
        <v>0.55600000000000005</v>
      </c>
      <c r="L304" s="74">
        <v>5</v>
      </c>
      <c r="M304" s="101" t="s">
        <v>1068</v>
      </c>
      <c r="N304" s="101" t="s">
        <v>21</v>
      </c>
      <c r="O304" s="107">
        <v>2019</v>
      </c>
      <c r="P304" s="168" t="s">
        <v>1068</v>
      </c>
    </row>
    <row r="305" spans="1:18" ht="19.5" x14ac:dyDescent="0.25">
      <c r="A305" s="101"/>
      <c r="B305" s="507" t="s">
        <v>22</v>
      </c>
      <c r="C305" s="507"/>
      <c r="D305" s="169"/>
      <c r="E305" s="47"/>
      <c r="F305" s="88">
        <v>12.9</v>
      </c>
      <c r="G305" s="92">
        <v>12.9</v>
      </c>
      <c r="H305" s="47"/>
      <c r="I305" s="47"/>
      <c r="J305" s="47"/>
      <c r="K305" s="249">
        <v>0.55600000000000005</v>
      </c>
      <c r="L305" s="47"/>
      <c r="M305" s="101"/>
      <c r="N305" s="101"/>
      <c r="O305" s="47"/>
      <c r="P305" s="168"/>
    </row>
    <row r="306" spans="1:18" ht="56.25" x14ac:dyDescent="0.25">
      <c r="A306" s="74">
        <v>116</v>
      </c>
      <c r="B306" s="120" t="s">
        <v>405</v>
      </c>
      <c r="C306" s="182" t="s">
        <v>1610</v>
      </c>
      <c r="D306" s="182" t="s">
        <v>1436</v>
      </c>
      <c r="E306" s="107" t="s">
        <v>410</v>
      </c>
      <c r="F306" s="67">
        <v>31.191191963510001</v>
      </c>
      <c r="G306" s="248">
        <v>31.191191963510001</v>
      </c>
      <c r="H306" s="107" t="s">
        <v>427</v>
      </c>
      <c r="I306" s="74" t="s">
        <v>16</v>
      </c>
      <c r="J306" s="74">
        <v>572090</v>
      </c>
      <c r="K306" s="250">
        <v>10.297000000000001</v>
      </c>
      <c r="L306" s="74">
        <v>15</v>
      </c>
      <c r="M306" s="101" t="s">
        <v>1068</v>
      </c>
      <c r="N306" s="101" t="s">
        <v>21</v>
      </c>
      <c r="O306" s="107">
        <v>2019</v>
      </c>
      <c r="P306" s="168" t="s">
        <v>1068</v>
      </c>
    </row>
    <row r="307" spans="1:18" ht="19.5" x14ac:dyDescent="0.25">
      <c r="A307" s="101"/>
      <c r="B307" s="507" t="s">
        <v>22</v>
      </c>
      <c r="C307" s="507"/>
      <c r="D307" s="169"/>
      <c r="E307" s="47"/>
      <c r="F307" s="88">
        <v>31.190999999999999</v>
      </c>
      <c r="G307" s="92">
        <v>31.190999999999999</v>
      </c>
      <c r="H307" s="47"/>
      <c r="I307" s="47"/>
      <c r="J307" s="47"/>
      <c r="K307" s="249">
        <v>10.297000000000001</v>
      </c>
      <c r="L307" s="47"/>
      <c r="M307" s="101"/>
      <c r="N307" s="101"/>
      <c r="O307" s="47"/>
      <c r="P307" s="168"/>
    </row>
    <row r="308" spans="1:18" x14ac:dyDescent="0.25">
      <c r="A308" s="427">
        <v>117</v>
      </c>
      <c r="B308" s="532" t="s">
        <v>412</v>
      </c>
      <c r="C308" s="532" t="s">
        <v>1609</v>
      </c>
      <c r="D308" s="120" t="s">
        <v>92</v>
      </c>
      <c r="E308" s="443" t="s">
        <v>412</v>
      </c>
      <c r="F308" s="374">
        <v>1.3</v>
      </c>
      <c r="G308" s="248">
        <v>1.3</v>
      </c>
      <c r="H308" s="443" t="s">
        <v>1112</v>
      </c>
      <c r="I308" s="107" t="s">
        <v>1170</v>
      </c>
      <c r="J308" s="69">
        <v>139000</v>
      </c>
      <c r="K308" s="248">
        <v>0.5</v>
      </c>
      <c r="L308" s="73">
        <v>2.5</v>
      </c>
      <c r="M308" s="427" t="s">
        <v>471</v>
      </c>
      <c r="N308" s="427" t="s">
        <v>21</v>
      </c>
      <c r="O308" s="443">
        <v>2019</v>
      </c>
      <c r="P308" s="535" t="s">
        <v>471</v>
      </c>
    </row>
    <row r="309" spans="1:18" x14ac:dyDescent="0.25">
      <c r="A309" s="427"/>
      <c r="B309" s="532"/>
      <c r="C309" s="532"/>
      <c r="D309" s="120" t="s">
        <v>416</v>
      </c>
      <c r="E309" s="443"/>
      <c r="F309" s="374">
        <v>0.2</v>
      </c>
      <c r="G309" s="248">
        <v>0.2</v>
      </c>
      <c r="H309" s="443"/>
      <c r="I309" s="107" t="s">
        <v>1170</v>
      </c>
      <c r="J309" s="69">
        <v>3300</v>
      </c>
      <c r="K309" s="248">
        <v>3.5</v>
      </c>
      <c r="L309" s="73">
        <v>0.06</v>
      </c>
      <c r="M309" s="427"/>
      <c r="N309" s="427"/>
      <c r="O309" s="443"/>
      <c r="P309" s="535"/>
    </row>
    <row r="310" spans="1:18" x14ac:dyDescent="0.25">
      <c r="A310" s="427"/>
      <c r="B310" s="532"/>
      <c r="C310" s="532"/>
      <c r="D310" s="120" t="s">
        <v>1608</v>
      </c>
      <c r="E310" s="443"/>
      <c r="F310" s="374">
        <v>0.5</v>
      </c>
      <c r="G310" s="248">
        <v>0.5</v>
      </c>
      <c r="H310" s="443"/>
      <c r="I310" s="107" t="s">
        <v>1170</v>
      </c>
      <c r="J310" s="69">
        <v>195000</v>
      </c>
      <c r="K310" s="248">
        <v>0.15</v>
      </c>
      <c r="L310" s="73">
        <v>3.5</v>
      </c>
      <c r="M310" s="427"/>
      <c r="N310" s="427"/>
      <c r="O310" s="443"/>
      <c r="P310" s="535"/>
    </row>
    <row r="311" spans="1:18" ht="37.5" x14ac:dyDescent="0.25">
      <c r="A311" s="427"/>
      <c r="B311" s="532"/>
      <c r="C311" s="532"/>
      <c r="D311" s="120" t="s">
        <v>420</v>
      </c>
      <c r="E311" s="443"/>
      <c r="F311" s="374">
        <v>3.4</v>
      </c>
      <c r="G311" s="248">
        <v>3.4</v>
      </c>
      <c r="H311" s="443"/>
      <c r="I311" s="107" t="s">
        <v>1170</v>
      </c>
      <c r="J311" s="69">
        <v>368000</v>
      </c>
      <c r="K311" s="248">
        <v>0.5</v>
      </c>
      <c r="L311" s="73">
        <v>6.6</v>
      </c>
      <c r="M311" s="427"/>
      <c r="N311" s="427"/>
      <c r="O311" s="443"/>
      <c r="P311" s="535"/>
    </row>
    <row r="312" spans="1:18" ht="33.75" customHeight="1" x14ac:dyDescent="0.25">
      <c r="A312" s="427"/>
      <c r="B312" s="532"/>
      <c r="C312" s="532"/>
      <c r="D312" s="120" t="s">
        <v>422</v>
      </c>
      <c r="E312" s="443"/>
      <c r="F312" s="374">
        <v>0.4</v>
      </c>
      <c r="G312" s="248">
        <v>0.4</v>
      </c>
      <c r="H312" s="443"/>
      <c r="I312" s="107" t="s">
        <v>1170</v>
      </c>
      <c r="J312" s="69">
        <v>48800</v>
      </c>
      <c r="K312" s="248">
        <v>0.3</v>
      </c>
      <c r="L312" s="73">
        <v>1.5</v>
      </c>
      <c r="M312" s="427"/>
      <c r="N312" s="427"/>
      <c r="O312" s="443"/>
      <c r="P312" s="535"/>
    </row>
    <row r="313" spans="1:18" ht="32.25" customHeight="1" x14ac:dyDescent="0.25">
      <c r="A313" s="427"/>
      <c r="B313" s="532"/>
      <c r="C313" s="532"/>
      <c r="D313" s="120" t="s">
        <v>424</v>
      </c>
      <c r="E313" s="443"/>
      <c r="F313" s="374">
        <v>0.255</v>
      </c>
      <c r="G313" s="248">
        <v>0.255</v>
      </c>
      <c r="H313" s="443"/>
      <c r="I313" s="107" t="s">
        <v>1170</v>
      </c>
      <c r="J313" s="69">
        <v>14000</v>
      </c>
      <c r="K313" s="248">
        <v>0.6</v>
      </c>
      <c r="L313" s="73">
        <v>0.432</v>
      </c>
      <c r="M313" s="427"/>
      <c r="N313" s="427"/>
      <c r="O313" s="443"/>
      <c r="P313" s="535"/>
    </row>
    <row r="314" spans="1:18" ht="19.5" x14ac:dyDescent="0.25">
      <c r="A314" s="101"/>
      <c r="B314" s="507" t="s">
        <v>22</v>
      </c>
      <c r="C314" s="507"/>
      <c r="D314" s="169"/>
      <c r="E314" s="47"/>
      <c r="F314" s="88">
        <f>SUM(F308:F313)</f>
        <v>6.0550000000000006</v>
      </c>
      <c r="G314" s="92">
        <f>SUM(G308:G313)</f>
        <v>6.0550000000000006</v>
      </c>
      <c r="H314" s="47"/>
      <c r="I314" s="48"/>
      <c r="J314" s="48"/>
      <c r="K314" s="92">
        <f>SUM(K308:K313)</f>
        <v>5.55</v>
      </c>
      <c r="L314" s="47"/>
      <c r="M314" s="101"/>
      <c r="N314" s="101"/>
      <c r="O314" s="47"/>
      <c r="P314" s="168"/>
    </row>
    <row r="315" spans="1:18" s="228" customFormat="1" ht="17.25" customHeight="1" x14ac:dyDescent="0.25">
      <c r="A315" s="159"/>
      <c r="B315" s="220" t="s">
        <v>426</v>
      </c>
      <c r="C315" s="529"/>
      <c r="D315" s="529"/>
      <c r="E315" s="159"/>
      <c r="F315" s="368">
        <f>F213+F215+F217+F219+F221+F223+F225+F227+F229+F231+F233+F235+F237+F239+F241+F243+F245+F247+F249+F251+F253+F255+F257+F259+F261+F263+F265+F267+F269+F271+F273+F275+F277+F279+F281+F283+F285+F287+F289+F291+F293+F295+F297+F299+F301+F303+F305+F307+F314</f>
        <v>37169.05356600001</v>
      </c>
      <c r="G315" s="306">
        <f>G213+G215+G217+G219+G221+G223+G225+G227+G229+G231+G233+G235+G237+G239+G241+G243+G245+G247+G249+G251+G253+G255+G257+G259+G261+G263+G265+G267+G269+G271+G273+G275+G277+G279+G281+G283+G285+G287+G289+G291+G293+G295+G297+G299+G301+G303+G305+G307+G314</f>
        <v>37169.05356600001</v>
      </c>
      <c r="H315" s="159"/>
      <c r="I315" s="368"/>
      <c r="J315" s="368"/>
      <c r="K315" s="306">
        <f>K213+K215+K217+K219+K221+K223+K225+K227+K229+K231+K233+K235+K237+K239+K241+K243+K245+K247+K249+K251+K253+K255+K257+K259+K261+K263+K265+K267+K269+K271+K273+K275+K277+K279+K281+K283+K285+K287+K289+K291+K293+K295+K297+K299+K301+K303+K305+K307+K314</f>
        <v>1243.0516260000006</v>
      </c>
      <c r="L315" s="159"/>
      <c r="M315" s="159"/>
      <c r="N315" s="159"/>
      <c r="O315" s="159"/>
      <c r="P315" s="224"/>
    </row>
    <row r="316" spans="1:18" ht="45.6" customHeight="1" x14ac:dyDescent="0.25">
      <c r="A316" s="101">
        <v>118</v>
      </c>
      <c r="B316" s="117" t="s">
        <v>435</v>
      </c>
      <c r="C316" s="117" t="s">
        <v>1605</v>
      </c>
      <c r="D316" s="117" t="s">
        <v>1606</v>
      </c>
      <c r="E316" s="101" t="s">
        <v>447</v>
      </c>
      <c r="F316" s="375">
        <f>2950000/1000000</f>
        <v>2.95</v>
      </c>
      <c r="G316" s="248">
        <f>2950000/1000000</f>
        <v>2.95</v>
      </c>
      <c r="H316" s="101" t="s">
        <v>1047</v>
      </c>
      <c r="I316" s="107" t="s">
        <v>1170</v>
      </c>
      <c r="J316" s="376">
        <v>9554833</v>
      </c>
      <c r="K316" s="248">
        <f>138430/1000</f>
        <v>138.43</v>
      </c>
      <c r="L316" s="101">
        <v>15</v>
      </c>
      <c r="M316" s="101" t="s">
        <v>43</v>
      </c>
      <c r="N316" s="101" t="s">
        <v>312</v>
      </c>
      <c r="O316" s="101">
        <v>2020</v>
      </c>
      <c r="P316" s="168" t="s">
        <v>43</v>
      </c>
      <c r="Q316" s="223" t="s">
        <v>475</v>
      </c>
    </row>
    <row r="317" spans="1:18" ht="17.649999999999999" customHeight="1" x14ac:dyDescent="0.25">
      <c r="A317" s="101"/>
      <c r="B317" s="507" t="s">
        <v>22</v>
      </c>
      <c r="C317" s="507"/>
      <c r="D317" s="117"/>
      <c r="E317" s="101"/>
      <c r="F317" s="94">
        <f>F316</f>
        <v>2.95</v>
      </c>
      <c r="G317" s="92">
        <f>G316</f>
        <v>2.95</v>
      </c>
      <c r="H317" s="101"/>
      <c r="I317" s="101"/>
      <c r="J317" s="101"/>
      <c r="K317" s="92">
        <f>K316</f>
        <v>138.43</v>
      </c>
      <c r="L317" s="101"/>
      <c r="M317" s="101"/>
      <c r="N317" s="101"/>
      <c r="O317" s="101"/>
      <c r="P317" s="168"/>
      <c r="Q317" s="230">
        <f>G317+G319+G337+G353+G355+G357+G359+G361+G363+G365+G379+G381+G385</f>
        <v>5934.3895000000002</v>
      </c>
      <c r="R317" s="230">
        <f>K317+K319+K337+K353+K355+K357+K359+K361+K363+K365+K379+K381+K385</f>
        <v>577.45896300000004</v>
      </c>
    </row>
    <row r="318" spans="1:18" ht="48.6" customHeight="1" x14ac:dyDescent="0.25">
      <c r="A318" s="101">
        <v>119</v>
      </c>
      <c r="B318" s="117" t="s">
        <v>435</v>
      </c>
      <c r="C318" s="117" t="s">
        <v>1603</v>
      </c>
      <c r="D318" s="117" t="s">
        <v>1604</v>
      </c>
      <c r="E318" s="101" t="s">
        <v>447</v>
      </c>
      <c r="F318" s="375">
        <f>1850000/1000</f>
        <v>1850</v>
      </c>
      <c r="G318" s="248">
        <f>1850000/1000</f>
        <v>1850</v>
      </c>
      <c r="H318" s="101" t="s">
        <v>1048</v>
      </c>
      <c r="I318" s="107" t="s">
        <v>1170</v>
      </c>
      <c r="J318" s="376">
        <v>5001398</v>
      </c>
      <c r="K318" s="248">
        <v>72.459999999999994</v>
      </c>
      <c r="L318" s="101">
        <v>15</v>
      </c>
      <c r="M318" s="101" t="s">
        <v>43</v>
      </c>
      <c r="N318" s="101" t="s">
        <v>312</v>
      </c>
      <c r="O318" s="101">
        <v>2020</v>
      </c>
      <c r="P318" s="168" t="s">
        <v>43</v>
      </c>
      <c r="Q318" s="223" t="s">
        <v>475</v>
      </c>
    </row>
    <row r="319" spans="1:18" ht="19.5" x14ac:dyDescent="0.25">
      <c r="A319" s="101"/>
      <c r="B319" s="507" t="s">
        <v>22</v>
      </c>
      <c r="C319" s="507"/>
      <c r="D319" s="117"/>
      <c r="E319" s="101"/>
      <c r="F319" s="94">
        <f>F318</f>
        <v>1850</v>
      </c>
      <c r="G319" s="92">
        <f>G318</f>
        <v>1850</v>
      </c>
      <c r="H319" s="101"/>
      <c r="I319" s="101"/>
      <c r="J319" s="101"/>
      <c r="K319" s="92">
        <f>K318</f>
        <v>72.459999999999994</v>
      </c>
      <c r="L319" s="101"/>
      <c r="M319" s="101"/>
      <c r="N319" s="101"/>
      <c r="O319" s="101"/>
      <c r="P319" s="168"/>
    </row>
    <row r="320" spans="1:18" ht="37.5" x14ac:dyDescent="0.25">
      <c r="A320" s="101">
        <v>120</v>
      </c>
      <c r="B320" s="117" t="s">
        <v>431</v>
      </c>
      <c r="C320" s="120" t="s">
        <v>1607</v>
      </c>
      <c r="D320" s="120" t="s">
        <v>432</v>
      </c>
      <c r="E320" s="101" t="s">
        <v>441</v>
      </c>
      <c r="F320" s="102">
        <v>1.72</v>
      </c>
      <c r="G320" s="89">
        <v>1.72</v>
      </c>
      <c r="H320" s="101" t="s">
        <v>428</v>
      </c>
      <c r="I320" s="101" t="s">
        <v>37</v>
      </c>
      <c r="J320" s="101">
        <v>206.328</v>
      </c>
      <c r="K320" s="89">
        <v>1.8492999999999999</v>
      </c>
      <c r="L320" s="101">
        <v>1.1000000000000001</v>
      </c>
      <c r="M320" s="101" t="s">
        <v>471</v>
      </c>
      <c r="N320" s="101" t="s">
        <v>21</v>
      </c>
      <c r="O320" s="101">
        <v>2019</v>
      </c>
      <c r="P320" s="168" t="s">
        <v>471</v>
      </c>
      <c r="Q320" s="223" t="s">
        <v>475</v>
      </c>
    </row>
    <row r="321" spans="1:19" ht="19.5" x14ac:dyDescent="0.25">
      <c r="A321" s="101"/>
      <c r="B321" s="507" t="s">
        <v>22</v>
      </c>
      <c r="C321" s="507"/>
      <c r="D321" s="117"/>
      <c r="E321" s="101"/>
      <c r="F321" s="37">
        <f>F320</f>
        <v>1.72</v>
      </c>
      <c r="G321" s="92">
        <f>G320</f>
        <v>1.72</v>
      </c>
      <c r="H321" s="101"/>
      <c r="I321" s="101"/>
      <c r="J321" s="101"/>
      <c r="K321" s="92">
        <f>K320</f>
        <v>1.8492999999999999</v>
      </c>
      <c r="L321" s="101"/>
      <c r="M321" s="101"/>
      <c r="N321" s="101"/>
      <c r="O321" s="101"/>
      <c r="P321" s="168"/>
      <c r="Q321" s="230">
        <f>G321+G323+G325+G327+G329+G332+G335+G339+G341+G343+G345+G347+G349+G351+G370+G372+G374+G377+G383</f>
        <v>1008.7861044000001</v>
      </c>
      <c r="R321" s="230">
        <f>K321+K323+K325+K327+K329+K332+K335+K339+K341+K343+K345+K347+K349+K351+K370+K372+K374+K377+K383</f>
        <v>292.3448565600001</v>
      </c>
    </row>
    <row r="322" spans="1:19" ht="37.5" x14ac:dyDescent="0.25">
      <c r="A322" s="101">
        <v>121</v>
      </c>
      <c r="B322" s="117" t="s">
        <v>433</v>
      </c>
      <c r="C322" s="120" t="s">
        <v>1416</v>
      </c>
      <c r="D322" s="120" t="s">
        <v>1412</v>
      </c>
      <c r="E322" s="101" t="s">
        <v>433</v>
      </c>
      <c r="F322" s="102">
        <v>10.15</v>
      </c>
      <c r="G322" s="89">
        <v>10.15</v>
      </c>
      <c r="H322" s="101" t="s">
        <v>1112</v>
      </c>
      <c r="I322" s="101" t="s">
        <v>1413</v>
      </c>
      <c r="J322" s="101">
        <v>109.62</v>
      </c>
      <c r="K322" s="89">
        <v>1.5149999999999999</v>
      </c>
      <c r="L322" s="101">
        <v>4.3</v>
      </c>
      <c r="M322" s="101" t="s">
        <v>43</v>
      </c>
      <c r="N322" s="101" t="s">
        <v>21</v>
      </c>
      <c r="O322" s="101">
        <v>2019</v>
      </c>
      <c r="P322" s="168" t="s">
        <v>43</v>
      </c>
      <c r="Q322" s="223" t="s">
        <v>475</v>
      </c>
    </row>
    <row r="323" spans="1:19" ht="19.5" x14ac:dyDescent="0.25">
      <c r="A323" s="101"/>
      <c r="B323" s="507" t="s">
        <v>22</v>
      </c>
      <c r="C323" s="507"/>
      <c r="D323" s="117"/>
      <c r="E323" s="101"/>
      <c r="F323" s="37">
        <f>F322</f>
        <v>10.15</v>
      </c>
      <c r="G323" s="92">
        <f>G322</f>
        <v>10.15</v>
      </c>
      <c r="H323" s="101"/>
      <c r="I323" s="101"/>
      <c r="J323" s="101"/>
      <c r="K323" s="92">
        <f>K322</f>
        <v>1.5149999999999999</v>
      </c>
      <c r="L323" s="101"/>
      <c r="M323" s="101"/>
      <c r="N323" s="101"/>
      <c r="O323" s="101"/>
      <c r="P323" s="168"/>
    </row>
    <row r="324" spans="1:19" ht="37.5" x14ac:dyDescent="0.25">
      <c r="A324" s="101">
        <v>122</v>
      </c>
      <c r="B324" s="117" t="s">
        <v>437</v>
      </c>
      <c r="C324" s="120" t="s">
        <v>436</v>
      </c>
      <c r="D324" s="120" t="s">
        <v>1417</v>
      </c>
      <c r="E324" s="101" t="s">
        <v>437</v>
      </c>
      <c r="F324" s="102">
        <v>1.8049999999999999</v>
      </c>
      <c r="G324" s="89">
        <v>1.8049999999999999</v>
      </c>
      <c r="H324" s="101" t="s">
        <v>1112</v>
      </c>
      <c r="I324" s="101" t="s">
        <v>1170</v>
      </c>
      <c r="J324" s="101">
        <v>107060</v>
      </c>
      <c r="K324" s="89">
        <v>0.888598</v>
      </c>
      <c r="L324" s="101">
        <v>2</v>
      </c>
      <c r="M324" s="101" t="s">
        <v>438</v>
      </c>
      <c r="N324" s="101" t="s">
        <v>21</v>
      </c>
      <c r="O324" s="101">
        <v>2020</v>
      </c>
      <c r="P324" s="168" t="s">
        <v>438</v>
      </c>
      <c r="Q324" s="223" t="s">
        <v>479</v>
      </c>
    </row>
    <row r="325" spans="1:19" ht="19.5" x14ac:dyDescent="0.25">
      <c r="A325" s="101"/>
      <c r="B325" s="507" t="s">
        <v>22</v>
      </c>
      <c r="C325" s="507"/>
      <c r="D325" s="117"/>
      <c r="E325" s="101"/>
      <c r="F325" s="37">
        <f>F324</f>
        <v>1.8049999999999999</v>
      </c>
      <c r="G325" s="92">
        <f>G324</f>
        <v>1.8049999999999999</v>
      </c>
      <c r="H325" s="101"/>
      <c r="I325" s="101"/>
      <c r="J325" s="101"/>
      <c r="K325" s="92">
        <f>K324</f>
        <v>0.888598</v>
      </c>
      <c r="L325" s="101"/>
      <c r="M325" s="101"/>
      <c r="N325" s="101"/>
      <c r="O325" s="101"/>
      <c r="P325" s="168"/>
    </row>
    <row r="326" spans="1:19" x14ac:dyDescent="0.25">
      <c r="A326" s="101">
        <v>123</v>
      </c>
      <c r="B326" s="117" t="s">
        <v>437</v>
      </c>
      <c r="C326" s="120" t="s">
        <v>439</v>
      </c>
      <c r="D326" s="120" t="s">
        <v>439</v>
      </c>
      <c r="E326" s="101" t="s">
        <v>437</v>
      </c>
      <c r="F326" s="102">
        <v>1.84</v>
      </c>
      <c r="G326" s="89">
        <v>1.84</v>
      </c>
      <c r="H326" s="101" t="s">
        <v>1112</v>
      </c>
      <c r="I326" s="101" t="s">
        <v>37</v>
      </c>
      <c r="J326" s="101">
        <v>51.7</v>
      </c>
      <c r="K326" s="89">
        <v>0.34069700000000003</v>
      </c>
      <c r="L326" s="101">
        <v>5.4</v>
      </c>
      <c r="M326" s="101" t="s">
        <v>438</v>
      </c>
      <c r="N326" s="101" t="s">
        <v>21</v>
      </c>
      <c r="O326" s="101">
        <v>2020</v>
      </c>
      <c r="P326" s="168" t="s">
        <v>438</v>
      </c>
      <c r="Q326" s="223" t="s">
        <v>479</v>
      </c>
      <c r="S326" s="223" t="s">
        <v>1440</v>
      </c>
    </row>
    <row r="327" spans="1:19" ht="19.5" x14ac:dyDescent="0.25">
      <c r="A327" s="101"/>
      <c r="B327" s="507" t="s">
        <v>22</v>
      </c>
      <c r="C327" s="507"/>
      <c r="D327" s="117"/>
      <c r="E327" s="101"/>
      <c r="F327" s="37">
        <f>F326</f>
        <v>1.84</v>
      </c>
      <c r="G327" s="92">
        <f>G326</f>
        <v>1.84</v>
      </c>
      <c r="H327" s="101"/>
      <c r="I327" s="101"/>
      <c r="J327" s="101"/>
      <c r="K327" s="92">
        <f>K326</f>
        <v>0.34069700000000003</v>
      </c>
      <c r="L327" s="101"/>
      <c r="M327" s="101"/>
      <c r="N327" s="101"/>
      <c r="O327" s="101"/>
      <c r="P327" s="168"/>
    </row>
    <row r="328" spans="1:19" ht="43.5" customHeight="1" x14ac:dyDescent="0.25">
      <c r="A328" s="101">
        <v>124</v>
      </c>
      <c r="B328" s="117" t="s">
        <v>440</v>
      </c>
      <c r="C328" s="120" t="s">
        <v>92</v>
      </c>
      <c r="D328" s="120" t="s">
        <v>1417</v>
      </c>
      <c r="E328" s="101" t="s">
        <v>440</v>
      </c>
      <c r="F328" s="102">
        <v>5.78</v>
      </c>
      <c r="G328" s="89">
        <v>5.78</v>
      </c>
      <c r="H328" s="101" t="s">
        <v>1112</v>
      </c>
      <c r="I328" s="101" t="s">
        <v>456</v>
      </c>
      <c r="J328" s="101">
        <v>46.298000000000002</v>
      </c>
      <c r="K328" s="89">
        <v>0.73614100000000005</v>
      </c>
      <c r="L328" s="101">
        <v>7.8</v>
      </c>
      <c r="M328" s="101" t="s">
        <v>442</v>
      </c>
      <c r="N328" s="101" t="s">
        <v>21</v>
      </c>
      <c r="O328" s="101">
        <v>2020</v>
      </c>
      <c r="P328" s="168" t="s">
        <v>442</v>
      </c>
      <c r="Q328" s="223" t="s">
        <v>478</v>
      </c>
      <c r="S328" s="223" t="s">
        <v>1441</v>
      </c>
    </row>
    <row r="329" spans="1:19" ht="19.5" x14ac:dyDescent="0.25">
      <c r="A329" s="101"/>
      <c r="B329" s="507" t="s">
        <v>22</v>
      </c>
      <c r="C329" s="507"/>
      <c r="D329" s="117"/>
      <c r="E329" s="101"/>
      <c r="F329" s="37">
        <f>F328</f>
        <v>5.78</v>
      </c>
      <c r="G329" s="92">
        <f>G328</f>
        <v>5.78</v>
      </c>
      <c r="H329" s="101"/>
      <c r="I329" s="101"/>
      <c r="J329" s="101"/>
      <c r="K329" s="92">
        <f>K328</f>
        <v>0.73614100000000005</v>
      </c>
      <c r="L329" s="101"/>
      <c r="M329" s="101"/>
      <c r="N329" s="101"/>
      <c r="O329" s="101"/>
      <c r="P329" s="168"/>
    </row>
    <row r="330" spans="1:19" x14ac:dyDescent="0.25">
      <c r="A330" s="427">
        <v>125</v>
      </c>
      <c r="B330" s="439" t="s">
        <v>444</v>
      </c>
      <c r="C330" s="444" t="s">
        <v>1388</v>
      </c>
      <c r="D330" s="120" t="s">
        <v>416</v>
      </c>
      <c r="E330" s="427" t="s">
        <v>444</v>
      </c>
      <c r="F330" s="84">
        <f>1320/1000</f>
        <v>1.32</v>
      </c>
      <c r="G330" s="89">
        <f>1320/1000</f>
        <v>1.32</v>
      </c>
      <c r="H330" s="427" t="s">
        <v>1112</v>
      </c>
      <c r="I330" s="101" t="s">
        <v>456</v>
      </c>
      <c r="J330" s="90">
        <v>58086</v>
      </c>
      <c r="K330" s="89">
        <f>232.344/1000</f>
        <v>0.23234399999999999</v>
      </c>
      <c r="L330" s="427">
        <v>7.8</v>
      </c>
      <c r="M330" s="427" t="s">
        <v>446</v>
      </c>
      <c r="N330" s="427" t="s">
        <v>21</v>
      </c>
      <c r="O330" s="427">
        <v>2020</v>
      </c>
      <c r="P330" s="535" t="s">
        <v>446</v>
      </c>
      <c r="Q330" s="223" t="s">
        <v>477</v>
      </c>
    </row>
    <row r="331" spans="1:19" ht="37.5" x14ac:dyDescent="0.25">
      <c r="A331" s="427"/>
      <c r="B331" s="439"/>
      <c r="C331" s="444"/>
      <c r="D331" s="120" t="s">
        <v>445</v>
      </c>
      <c r="E331" s="427"/>
      <c r="F331" s="84">
        <f>2000/1000</f>
        <v>2</v>
      </c>
      <c r="G331" s="89">
        <f>2000/1000</f>
        <v>2</v>
      </c>
      <c r="H331" s="427"/>
      <c r="I331" s="101" t="s">
        <v>456</v>
      </c>
      <c r="J331" s="90">
        <v>8898</v>
      </c>
      <c r="K331" s="89">
        <f>35.592/1000</f>
        <v>3.5591999999999999E-2</v>
      </c>
      <c r="L331" s="427"/>
      <c r="M331" s="427"/>
      <c r="N331" s="427"/>
      <c r="O331" s="427"/>
      <c r="P331" s="535"/>
    </row>
    <row r="332" spans="1:19" ht="19.5" x14ac:dyDescent="0.25">
      <c r="A332" s="101"/>
      <c r="B332" s="507" t="s">
        <v>22</v>
      </c>
      <c r="C332" s="507"/>
      <c r="D332" s="117"/>
      <c r="E332" s="101"/>
      <c r="F332" s="37">
        <f>F330+F331</f>
        <v>3.3200000000000003</v>
      </c>
      <c r="G332" s="92">
        <f>G330+G331</f>
        <v>3.3200000000000003</v>
      </c>
      <c r="H332" s="101"/>
      <c r="I332" s="101"/>
      <c r="J332" s="101"/>
      <c r="K332" s="92">
        <f>K330+K331</f>
        <v>0.26793600000000001</v>
      </c>
      <c r="L332" s="102"/>
      <c r="M332" s="101"/>
      <c r="N332" s="101"/>
      <c r="O332" s="101"/>
      <c r="P332" s="168"/>
    </row>
    <row r="333" spans="1:19" x14ac:dyDescent="0.25">
      <c r="A333" s="427">
        <v>126</v>
      </c>
      <c r="B333" s="439" t="s">
        <v>449</v>
      </c>
      <c r="C333" s="444" t="s">
        <v>92</v>
      </c>
      <c r="D333" s="120" t="s">
        <v>448</v>
      </c>
      <c r="E333" s="427" t="s">
        <v>449</v>
      </c>
      <c r="F333" s="102">
        <f>62461/1000</f>
        <v>62.460999999999999</v>
      </c>
      <c r="G333" s="89">
        <f>62461/1000</f>
        <v>62.460999999999999</v>
      </c>
      <c r="H333" s="427" t="s">
        <v>1112</v>
      </c>
      <c r="I333" s="101" t="s">
        <v>456</v>
      </c>
      <c r="J333" s="87">
        <v>1153.268</v>
      </c>
      <c r="K333" s="89">
        <f>4613.072/1000</f>
        <v>4.6130719999999998</v>
      </c>
      <c r="L333" s="101">
        <v>13.54</v>
      </c>
      <c r="M333" s="427" t="s">
        <v>446</v>
      </c>
      <c r="N333" s="427" t="s">
        <v>21</v>
      </c>
      <c r="O333" s="427">
        <v>2020</v>
      </c>
      <c r="P333" s="535" t="s">
        <v>446</v>
      </c>
      <c r="Q333" s="223" t="s">
        <v>477</v>
      </c>
    </row>
    <row r="334" spans="1:19" ht="22.35" customHeight="1" x14ac:dyDescent="0.25">
      <c r="A334" s="427"/>
      <c r="B334" s="439"/>
      <c r="C334" s="444"/>
      <c r="D334" s="120" t="s">
        <v>450</v>
      </c>
      <c r="E334" s="427"/>
      <c r="F334" s="102">
        <f>82688/1000</f>
        <v>82.688000000000002</v>
      </c>
      <c r="G334" s="89">
        <f>82688/1000</f>
        <v>82.688000000000002</v>
      </c>
      <c r="H334" s="427"/>
      <c r="I334" s="101" t="s">
        <v>456</v>
      </c>
      <c r="J334" s="87">
        <v>3224.96</v>
      </c>
      <c r="K334" s="89">
        <v>12.899850000000001</v>
      </c>
      <c r="L334" s="101">
        <v>6.5</v>
      </c>
      <c r="M334" s="427"/>
      <c r="N334" s="427"/>
      <c r="O334" s="427"/>
      <c r="P334" s="535"/>
    </row>
    <row r="335" spans="1:19" ht="15.75" customHeight="1" x14ac:dyDescent="0.25">
      <c r="A335" s="101"/>
      <c r="B335" s="507" t="s">
        <v>22</v>
      </c>
      <c r="C335" s="507"/>
      <c r="D335" s="117"/>
      <c r="E335" s="101"/>
      <c r="F335" s="37">
        <f>F333+F334</f>
        <v>145.149</v>
      </c>
      <c r="G335" s="92">
        <f>G333+G334</f>
        <v>145.149</v>
      </c>
      <c r="H335" s="101"/>
      <c r="I335" s="101"/>
      <c r="J335" s="101"/>
      <c r="K335" s="92">
        <f>K333+K334</f>
        <v>17.512922</v>
      </c>
      <c r="L335" s="101"/>
      <c r="M335" s="101"/>
      <c r="N335" s="101"/>
      <c r="O335" s="101"/>
      <c r="P335" s="168"/>
    </row>
    <row r="336" spans="1:19" ht="60.6" customHeight="1" x14ac:dyDescent="0.25">
      <c r="A336" s="101">
        <v>127</v>
      </c>
      <c r="B336" s="117" t="s">
        <v>453</v>
      </c>
      <c r="C336" s="117" t="s">
        <v>452</v>
      </c>
      <c r="D336" s="117" t="s">
        <v>1443</v>
      </c>
      <c r="E336" s="101" t="s">
        <v>455</v>
      </c>
      <c r="F336" s="102">
        <f>3113084/1000</f>
        <v>3113.0839999999998</v>
      </c>
      <c r="G336" s="89">
        <f>3113084/1000</f>
        <v>3113.0839999999998</v>
      </c>
      <c r="H336" s="101" t="s">
        <v>427</v>
      </c>
      <c r="I336" s="101" t="s">
        <v>1170</v>
      </c>
      <c r="J336" s="90">
        <v>5543452</v>
      </c>
      <c r="K336" s="89">
        <f>157217/1000</f>
        <v>157.21700000000001</v>
      </c>
      <c r="L336" s="101">
        <v>5</v>
      </c>
      <c r="M336" s="101" t="s">
        <v>454</v>
      </c>
      <c r="N336" s="427" t="s">
        <v>21</v>
      </c>
      <c r="O336" s="101">
        <v>2020</v>
      </c>
      <c r="P336" s="168" t="s">
        <v>454</v>
      </c>
      <c r="Q336" s="223" t="s">
        <v>480</v>
      </c>
    </row>
    <row r="337" spans="1:17" ht="21.75" customHeight="1" x14ac:dyDescent="0.25">
      <c r="A337" s="101"/>
      <c r="B337" s="507" t="s">
        <v>22</v>
      </c>
      <c r="C337" s="507"/>
      <c r="D337" s="117"/>
      <c r="E337" s="101"/>
      <c r="F337" s="37">
        <f>F336</f>
        <v>3113.0839999999998</v>
      </c>
      <c r="G337" s="92">
        <f>G336</f>
        <v>3113.0839999999998</v>
      </c>
      <c r="H337" s="101"/>
      <c r="I337" s="101"/>
      <c r="J337" s="101"/>
      <c r="K337" s="92">
        <f>K336</f>
        <v>157.21700000000001</v>
      </c>
      <c r="L337" s="101"/>
      <c r="M337" s="101"/>
      <c r="N337" s="427"/>
      <c r="O337" s="101"/>
      <c r="P337" s="168"/>
    </row>
    <row r="338" spans="1:17" ht="88.9" customHeight="1" x14ac:dyDescent="0.25">
      <c r="A338" s="101">
        <v>128</v>
      </c>
      <c r="B338" s="117" t="s">
        <v>317</v>
      </c>
      <c r="C338" s="117" t="s">
        <v>460</v>
      </c>
      <c r="D338" s="117" t="s">
        <v>527</v>
      </c>
      <c r="E338" s="101" t="s">
        <v>301</v>
      </c>
      <c r="F338" s="87">
        <f>48880/1000</f>
        <v>48.88</v>
      </c>
      <c r="G338" s="89">
        <f>48880/1000</f>
        <v>48.88</v>
      </c>
      <c r="H338" s="101" t="s">
        <v>427</v>
      </c>
      <c r="I338" s="101" t="s">
        <v>283</v>
      </c>
      <c r="J338" s="90">
        <v>526077</v>
      </c>
      <c r="K338" s="89">
        <v>11.143000000000001</v>
      </c>
      <c r="L338" s="101">
        <v>3</v>
      </c>
      <c r="M338" s="101" t="s">
        <v>466</v>
      </c>
      <c r="N338" s="101" t="s">
        <v>21</v>
      </c>
      <c r="O338" s="101">
        <v>2019</v>
      </c>
      <c r="P338" s="168" t="s">
        <v>466</v>
      </c>
      <c r="Q338" s="223" t="s">
        <v>476</v>
      </c>
    </row>
    <row r="339" spans="1:17" ht="21.75" customHeight="1" x14ac:dyDescent="0.25">
      <c r="A339" s="101"/>
      <c r="B339" s="507" t="s">
        <v>22</v>
      </c>
      <c r="C339" s="507"/>
      <c r="D339" s="117"/>
      <c r="E339" s="101"/>
      <c r="F339" s="37">
        <f>F338</f>
        <v>48.88</v>
      </c>
      <c r="G339" s="92">
        <f>G338</f>
        <v>48.88</v>
      </c>
      <c r="H339" s="101"/>
      <c r="I339" s="101"/>
      <c r="J339" s="101"/>
      <c r="K339" s="92">
        <f>K338</f>
        <v>11.143000000000001</v>
      </c>
      <c r="L339" s="101"/>
      <c r="M339" s="101"/>
      <c r="N339" s="101"/>
      <c r="O339" s="101"/>
      <c r="P339" s="168"/>
    </row>
    <row r="340" spans="1:17" ht="72" customHeight="1" x14ac:dyDescent="0.25">
      <c r="A340" s="101">
        <v>129</v>
      </c>
      <c r="B340" s="117" t="s">
        <v>317</v>
      </c>
      <c r="C340" s="117" t="s">
        <v>461</v>
      </c>
      <c r="D340" s="117" t="s">
        <v>1415</v>
      </c>
      <c r="E340" s="101" t="s">
        <v>301</v>
      </c>
      <c r="F340" s="87">
        <v>33.524999999999999</v>
      </c>
      <c r="G340" s="89">
        <v>33.524999999999999</v>
      </c>
      <c r="H340" s="101" t="s">
        <v>427</v>
      </c>
      <c r="I340" s="101" t="s">
        <v>283</v>
      </c>
      <c r="J340" s="90">
        <v>527570</v>
      </c>
      <c r="K340" s="89">
        <v>11.175000000000001</v>
      </c>
      <c r="L340" s="101">
        <v>3</v>
      </c>
      <c r="M340" s="101" t="s">
        <v>466</v>
      </c>
      <c r="N340" s="101" t="s">
        <v>21</v>
      </c>
      <c r="O340" s="101">
        <v>2020</v>
      </c>
      <c r="P340" s="168" t="s">
        <v>466</v>
      </c>
      <c r="Q340" s="223" t="s">
        <v>476</v>
      </c>
    </row>
    <row r="341" spans="1:17" ht="17.25" customHeight="1" x14ac:dyDescent="0.25">
      <c r="A341" s="101"/>
      <c r="B341" s="507" t="s">
        <v>22</v>
      </c>
      <c r="C341" s="507"/>
      <c r="D341" s="117"/>
      <c r="E341" s="101"/>
      <c r="F341" s="37">
        <f>F340</f>
        <v>33.524999999999999</v>
      </c>
      <c r="G341" s="92">
        <f>G340</f>
        <v>33.524999999999999</v>
      </c>
      <c r="H341" s="101"/>
      <c r="I341" s="101"/>
      <c r="J341" s="101"/>
      <c r="K341" s="92">
        <f>K340</f>
        <v>11.175000000000001</v>
      </c>
      <c r="L341" s="101"/>
      <c r="M341" s="101"/>
      <c r="N341" s="101"/>
      <c r="O341" s="101"/>
      <c r="P341" s="168"/>
    </row>
    <row r="342" spans="1:17" ht="69" customHeight="1" x14ac:dyDescent="0.25">
      <c r="A342" s="101">
        <v>130</v>
      </c>
      <c r="B342" s="117" t="s">
        <v>317</v>
      </c>
      <c r="C342" s="117" t="s">
        <v>462</v>
      </c>
      <c r="D342" s="117" t="s">
        <v>1389</v>
      </c>
      <c r="E342" s="101" t="s">
        <v>301</v>
      </c>
      <c r="F342" s="87">
        <v>33.293999999999997</v>
      </c>
      <c r="G342" s="89">
        <v>33.293999999999997</v>
      </c>
      <c r="H342" s="101" t="s">
        <v>427</v>
      </c>
      <c r="I342" s="101" t="s">
        <v>283</v>
      </c>
      <c r="J342" s="90">
        <v>325427</v>
      </c>
      <c r="K342" s="89">
        <v>6.8929999999999998</v>
      </c>
      <c r="L342" s="101">
        <v>3</v>
      </c>
      <c r="M342" s="101" t="s">
        <v>466</v>
      </c>
      <c r="N342" s="101" t="s">
        <v>21</v>
      </c>
      <c r="O342" s="101">
        <v>2019</v>
      </c>
      <c r="P342" s="168" t="s">
        <v>466</v>
      </c>
      <c r="Q342" s="223" t="s">
        <v>476</v>
      </c>
    </row>
    <row r="343" spans="1:17" ht="20.25" customHeight="1" x14ac:dyDescent="0.25">
      <c r="A343" s="101"/>
      <c r="B343" s="507" t="s">
        <v>22</v>
      </c>
      <c r="C343" s="507"/>
      <c r="D343" s="117"/>
      <c r="E343" s="101"/>
      <c r="F343" s="37">
        <f>F342</f>
        <v>33.293999999999997</v>
      </c>
      <c r="G343" s="92">
        <f>G342</f>
        <v>33.293999999999997</v>
      </c>
      <c r="H343" s="101"/>
      <c r="I343" s="101"/>
      <c r="J343" s="101"/>
      <c r="K343" s="92">
        <f>K342</f>
        <v>6.8929999999999998</v>
      </c>
      <c r="L343" s="101"/>
      <c r="M343" s="101"/>
      <c r="N343" s="101"/>
      <c r="O343" s="101"/>
      <c r="P343" s="168"/>
    </row>
    <row r="344" spans="1:17" ht="70.349999999999994" customHeight="1" x14ac:dyDescent="0.25">
      <c r="A344" s="101">
        <v>131</v>
      </c>
      <c r="B344" s="117" t="s">
        <v>317</v>
      </c>
      <c r="C344" s="117" t="s">
        <v>528</v>
      </c>
      <c r="D344" s="117" t="s">
        <v>1390</v>
      </c>
      <c r="E344" s="101" t="s">
        <v>301</v>
      </c>
      <c r="F344" s="87">
        <v>30.201000000000001</v>
      </c>
      <c r="G344" s="89">
        <v>30.201000000000001</v>
      </c>
      <c r="H344" s="101" t="s">
        <v>427</v>
      </c>
      <c r="I344" s="101" t="s">
        <v>283</v>
      </c>
      <c r="J344" s="90">
        <v>475262</v>
      </c>
      <c r="K344" s="89">
        <v>10.067</v>
      </c>
      <c r="L344" s="101">
        <v>3</v>
      </c>
      <c r="M344" s="101" t="s">
        <v>466</v>
      </c>
      <c r="N344" s="101" t="s">
        <v>21</v>
      </c>
      <c r="O344" s="101">
        <v>2019</v>
      </c>
      <c r="P344" s="168" t="s">
        <v>466</v>
      </c>
      <c r="Q344" s="223" t="s">
        <v>476</v>
      </c>
    </row>
    <row r="345" spans="1:17" ht="23.25" customHeight="1" x14ac:dyDescent="0.25">
      <c r="A345" s="101"/>
      <c r="B345" s="507" t="s">
        <v>22</v>
      </c>
      <c r="C345" s="507"/>
      <c r="D345" s="117"/>
      <c r="E345" s="101"/>
      <c r="F345" s="37">
        <f>F344</f>
        <v>30.201000000000001</v>
      </c>
      <c r="G345" s="92">
        <f>G344</f>
        <v>30.201000000000001</v>
      </c>
      <c r="H345" s="101"/>
      <c r="I345" s="101"/>
      <c r="J345" s="101"/>
      <c r="K345" s="92">
        <f>K344</f>
        <v>10.067</v>
      </c>
      <c r="L345" s="101"/>
      <c r="M345" s="101"/>
      <c r="N345" s="101"/>
      <c r="O345" s="101"/>
      <c r="P345" s="168"/>
    </row>
    <row r="346" spans="1:17" ht="70.349999999999994" customHeight="1" x14ac:dyDescent="0.25">
      <c r="A346" s="101">
        <v>132</v>
      </c>
      <c r="B346" s="117" t="s">
        <v>317</v>
      </c>
      <c r="C346" s="117" t="s">
        <v>463</v>
      </c>
      <c r="D346" s="117" t="s">
        <v>527</v>
      </c>
      <c r="E346" s="101" t="s">
        <v>301</v>
      </c>
      <c r="F346" s="87">
        <v>46.914999999999999</v>
      </c>
      <c r="G346" s="89">
        <v>46.914999999999999</v>
      </c>
      <c r="H346" s="101" t="s">
        <v>427</v>
      </c>
      <c r="I346" s="101" t="s">
        <v>283</v>
      </c>
      <c r="J346" s="90">
        <v>738268</v>
      </c>
      <c r="K346" s="89">
        <v>15.638</v>
      </c>
      <c r="L346" s="101">
        <v>3</v>
      </c>
      <c r="M346" s="101" t="s">
        <v>466</v>
      </c>
      <c r="N346" s="101" t="s">
        <v>21</v>
      </c>
      <c r="O346" s="101">
        <v>2019</v>
      </c>
      <c r="P346" s="168" t="s">
        <v>466</v>
      </c>
      <c r="Q346" s="223" t="s">
        <v>476</v>
      </c>
    </row>
    <row r="347" spans="1:17" ht="24.75" customHeight="1" x14ac:dyDescent="0.25">
      <c r="A347" s="101"/>
      <c r="B347" s="507" t="s">
        <v>22</v>
      </c>
      <c r="C347" s="507"/>
      <c r="D347" s="117"/>
      <c r="E347" s="101"/>
      <c r="F347" s="37">
        <f>F346</f>
        <v>46.914999999999999</v>
      </c>
      <c r="G347" s="92">
        <f>G346</f>
        <v>46.914999999999999</v>
      </c>
      <c r="H347" s="101"/>
      <c r="I347" s="101"/>
      <c r="J347" s="101"/>
      <c r="K347" s="92">
        <f>K346</f>
        <v>15.638</v>
      </c>
      <c r="L347" s="101"/>
      <c r="M347" s="101"/>
      <c r="N347" s="101"/>
      <c r="O347" s="101"/>
      <c r="P347" s="168"/>
    </row>
    <row r="348" spans="1:17" ht="70.349999999999994" customHeight="1" x14ac:dyDescent="0.25">
      <c r="A348" s="101">
        <v>133</v>
      </c>
      <c r="B348" s="117" t="s">
        <v>317</v>
      </c>
      <c r="C348" s="117" t="s">
        <v>464</v>
      </c>
      <c r="D348" s="117" t="s">
        <v>464</v>
      </c>
      <c r="E348" s="101" t="s">
        <v>301</v>
      </c>
      <c r="F348" s="87">
        <v>27.302</v>
      </c>
      <c r="G348" s="89">
        <v>27.302</v>
      </c>
      <c r="H348" s="101" t="s">
        <v>427</v>
      </c>
      <c r="I348" s="101" t="s">
        <v>283</v>
      </c>
      <c r="J348" s="90">
        <v>387990</v>
      </c>
      <c r="K348" s="89">
        <v>8.218</v>
      </c>
      <c r="L348" s="101">
        <v>3</v>
      </c>
      <c r="M348" s="101" t="s">
        <v>466</v>
      </c>
      <c r="N348" s="101" t="s">
        <v>21</v>
      </c>
      <c r="O348" s="101">
        <v>2019</v>
      </c>
      <c r="P348" s="168" t="s">
        <v>466</v>
      </c>
      <c r="Q348" s="223" t="s">
        <v>476</v>
      </c>
    </row>
    <row r="349" spans="1:17" ht="20.25" customHeight="1" x14ac:dyDescent="0.25">
      <c r="A349" s="101"/>
      <c r="B349" s="507" t="s">
        <v>22</v>
      </c>
      <c r="C349" s="507"/>
      <c r="D349" s="117"/>
      <c r="E349" s="101"/>
      <c r="F349" s="37">
        <f>F348</f>
        <v>27.302</v>
      </c>
      <c r="G349" s="92">
        <f>G348</f>
        <v>27.302</v>
      </c>
      <c r="H349" s="101"/>
      <c r="I349" s="101"/>
      <c r="J349" s="101"/>
      <c r="K349" s="92">
        <f>K348</f>
        <v>8.218</v>
      </c>
      <c r="L349" s="101"/>
      <c r="M349" s="101"/>
      <c r="N349" s="101"/>
      <c r="O349" s="101"/>
      <c r="P349" s="168"/>
    </row>
    <row r="350" spans="1:17" ht="71.650000000000006" customHeight="1" x14ac:dyDescent="0.25">
      <c r="A350" s="101">
        <v>134</v>
      </c>
      <c r="B350" s="117" t="s">
        <v>317</v>
      </c>
      <c r="C350" s="117" t="s">
        <v>465</v>
      </c>
      <c r="D350" s="117" t="s">
        <v>527</v>
      </c>
      <c r="E350" s="101" t="s">
        <v>301</v>
      </c>
      <c r="F350" s="87">
        <v>27.302</v>
      </c>
      <c r="G350" s="89">
        <v>27.302</v>
      </c>
      <c r="H350" s="101" t="s">
        <v>427</v>
      </c>
      <c r="I350" s="101" t="s">
        <v>283</v>
      </c>
      <c r="J350" s="90">
        <v>387990</v>
      </c>
      <c r="K350" s="89">
        <v>8.218</v>
      </c>
      <c r="L350" s="101">
        <v>3</v>
      </c>
      <c r="M350" s="101" t="s">
        <v>466</v>
      </c>
      <c r="N350" s="101" t="s">
        <v>21</v>
      </c>
      <c r="O350" s="101">
        <v>2019</v>
      </c>
      <c r="P350" s="168" t="s">
        <v>466</v>
      </c>
      <c r="Q350" s="223" t="s">
        <v>481</v>
      </c>
    </row>
    <row r="351" spans="1:17" ht="19.5" x14ac:dyDescent="0.25">
      <c r="A351" s="101"/>
      <c r="B351" s="507" t="s">
        <v>22</v>
      </c>
      <c r="C351" s="507"/>
      <c r="D351" s="117"/>
      <c r="E351" s="101"/>
      <c r="F351" s="37">
        <f>F350</f>
        <v>27.302</v>
      </c>
      <c r="G351" s="92">
        <f>G350</f>
        <v>27.302</v>
      </c>
      <c r="H351" s="101"/>
      <c r="I351" s="101"/>
      <c r="J351" s="101"/>
      <c r="K351" s="92">
        <f>K350</f>
        <v>8.218</v>
      </c>
      <c r="L351" s="101"/>
      <c r="M351" s="101"/>
      <c r="N351" s="101"/>
      <c r="O351" s="101"/>
      <c r="P351" s="168"/>
    </row>
    <row r="352" spans="1:17" ht="60" customHeight="1" x14ac:dyDescent="0.25">
      <c r="A352" s="101">
        <v>135</v>
      </c>
      <c r="B352" s="117" t="s">
        <v>470</v>
      </c>
      <c r="C352" s="117" t="s">
        <v>1418</v>
      </c>
      <c r="D352" s="117" t="s">
        <v>1419</v>
      </c>
      <c r="E352" s="101" t="s">
        <v>94</v>
      </c>
      <c r="F352" s="87">
        <v>211.59970000000001</v>
      </c>
      <c r="G352" s="89">
        <v>211.59970000000001</v>
      </c>
      <c r="H352" s="101" t="s">
        <v>428</v>
      </c>
      <c r="I352" s="101" t="s">
        <v>469</v>
      </c>
      <c r="J352" s="90">
        <v>5580000</v>
      </c>
      <c r="K352" s="89">
        <v>41.369700000000002</v>
      </c>
      <c r="L352" s="101">
        <v>4.5</v>
      </c>
      <c r="M352" s="101" t="s">
        <v>471</v>
      </c>
      <c r="N352" s="101" t="s">
        <v>21</v>
      </c>
      <c r="O352" s="101">
        <v>2020</v>
      </c>
      <c r="P352" s="168" t="s">
        <v>471</v>
      </c>
      <c r="Q352" s="223" t="s">
        <v>478</v>
      </c>
    </row>
    <row r="353" spans="1:17" ht="19.5" x14ac:dyDescent="0.25">
      <c r="A353" s="101"/>
      <c r="B353" s="507" t="s">
        <v>22</v>
      </c>
      <c r="C353" s="507"/>
      <c r="D353" s="117"/>
      <c r="E353" s="101"/>
      <c r="F353" s="37">
        <f>F352</f>
        <v>211.59970000000001</v>
      </c>
      <c r="G353" s="92">
        <f>G352</f>
        <v>211.59970000000001</v>
      </c>
      <c r="H353" s="101"/>
      <c r="I353" s="101"/>
      <c r="J353" s="101"/>
      <c r="K353" s="92">
        <f>K352</f>
        <v>41.369700000000002</v>
      </c>
      <c r="L353" s="101"/>
      <c r="M353" s="101"/>
      <c r="N353" s="101"/>
      <c r="O353" s="101"/>
      <c r="P353" s="168"/>
    </row>
    <row r="354" spans="1:17" ht="45.6" customHeight="1" x14ac:dyDescent="0.25">
      <c r="A354" s="101">
        <v>136</v>
      </c>
      <c r="B354" s="117" t="s">
        <v>1414</v>
      </c>
      <c r="C354" s="117" t="s">
        <v>1601</v>
      </c>
      <c r="D354" s="117" t="s">
        <v>1602</v>
      </c>
      <c r="E354" s="101" t="s">
        <v>472</v>
      </c>
      <c r="F354" s="87">
        <f>55000/1000000</f>
        <v>5.5E-2</v>
      </c>
      <c r="G354" s="89">
        <f>55000/1000000</f>
        <v>5.5E-2</v>
      </c>
      <c r="H354" s="101" t="s">
        <v>1112</v>
      </c>
      <c r="I354" s="101" t="s">
        <v>469</v>
      </c>
      <c r="J354" s="90">
        <v>2186.35</v>
      </c>
      <c r="K354" s="89">
        <f>31265/1000000</f>
        <v>3.1265000000000001E-2</v>
      </c>
      <c r="L354" s="101">
        <v>1.8</v>
      </c>
      <c r="M354" s="101" t="s">
        <v>43</v>
      </c>
      <c r="N354" s="101" t="s">
        <v>21</v>
      </c>
      <c r="O354" s="101">
        <v>2020</v>
      </c>
      <c r="P354" s="168" t="s">
        <v>43</v>
      </c>
      <c r="Q354" s="223" t="s">
        <v>482</v>
      </c>
    </row>
    <row r="355" spans="1:17" ht="19.5" x14ac:dyDescent="0.25">
      <c r="A355" s="101"/>
      <c r="B355" s="507" t="s">
        <v>22</v>
      </c>
      <c r="C355" s="507"/>
      <c r="D355" s="117"/>
      <c r="E355" s="101"/>
      <c r="F355" s="37">
        <f>F354</f>
        <v>5.5E-2</v>
      </c>
      <c r="G355" s="92">
        <f>G354</f>
        <v>5.5E-2</v>
      </c>
      <c r="H355" s="101"/>
      <c r="I355" s="101" t="s">
        <v>469</v>
      </c>
      <c r="J355" s="101"/>
      <c r="K355" s="92">
        <f>K354</f>
        <v>3.1265000000000001E-2</v>
      </c>
      <c r="L355" s="101"/>
      <c r="M355" s="101"/>
      <c r="N355" s="101"/>
      <c r="O355" s="101"/>
      <c r="P355" s="168"/>
    </row>
    <row r="356" spans="1:17" ht="45.6" customHeight="1" x14ac:dyDescent="0.25">
      <c r="A356" s="101">
        <v>137</v>
      </c>
      <c r="B356" s="117" t="s">
        <v>1420</v>
      </c>
      <c r="C356" s="117" t="s">
        <v>485</v>
      </c>
      <c r="D356" s="117" t="s">
        <v>486</v>
      </c>
      <c r="E356" s="101" t="s">
        <v>484</v>
      </c>
      <c r="F356" s="87">
        <v>0.97</v>
      </c>
      <c r="G356" s="89">
        <v>0.97</v>
      </c>
      <c r="H356" s="101" t="s">
        <v>1112</v>
      </c>
      <c r="I356" s="101" t="s">
        <v>37</v>
      </c>
      <c r="J356" s="90">
        <v>25.893000000000001</v>
      </c>
      <c r="K356" s="89">
        <f>217.685/1000</f>
        <v>0.21768499999999999</v>
      </c>
      <c r="L356" s="101">
        <v>4.3</v>
      </c>
      <c r="M356" s="101" t="s">
        <v>438</v>
      </c>
      <c r="N356" s="101" t="s">
        <v>21</v>
      </c>
      <c r="O356" s="101">
        <v>2020</v>
      </c>
      <c r="P356" s="168" t="s">
        <v>438</v>
      </c>
      <c r="Q356" s="223" t="s">
        <v>483</v>
      </c>
    </row>
    <row r="357" spans="1:17" ht="19.5" x14ac:dyDescent="0.25">
      <c r="A357" s="101"/>
      <c r="B357" s="507" t="s">
        <v>22</v>
      </c>
      <c r="C357" s="507"/>
      <c r="D357" s="117"/>
      <c r="E357" s="101"/>
      <c r="F357" s="37">
        <f>F356</f>
        <v>0.97</v>
      </c>
      <c r="G357" s="92">
        <f>G356</f>
        <v>0.97</v>
      </c>
      <c r="H357" s="101"/>
      <c r="I357" s="101"/>
      <c r="J357" s="101"/>
      <c r="K357" s="92">
        <f>K356</f>
        <v>0.21768499999999999</v>
      </c>
      <c r="L357" s="101"/>
      <c r="M357" s="101"/>
      <c r="N357" s="101"/>
      <c r="O357" s="101"/>
      <c r="P357" s="168"/>
    </row>
    <row r="358" spans="1:17" ht="59.65" customHeight="1" x14ac:dyDescent="0.25">
      <c r="A358" s="101">
        <v>138</v>
      </c>
      <c r="B358" s="117" t="s">
        <v>488</v>
      </c>
      <c r="C358" s="117" t="s">
        <v>487</v>
      </c>
      <c r="D358" s="117" t="s">
        <v>490</v>
      </c>
      <c r="E358" s="101" t="s">
        <v>488</v>
      </c>
      <c r="F358" s="87">
        <f>73908.8/1000</f>
        <v>73.908799999999999</v>
      </c>
      <c r="G358" s="89">
        <f>73908.8/1000</f>
        <v>73.908799999999999</v>
      </c>
      <c r="H358" s="101" t="s">
        <v>1112</v>
      </c>
      <c r="I358" s="101" t="s">
        <v>469</v>
      </c>
      <c r="J358" s="90">
        <v>146000</v>
      </c>
      <c r="K358" s="89">
        <f>4388760/1000000</f>
        <v>4.3887600000000004</v>
      </c>
      <c r="L358" s="101">
        <v>16</v>
      </c>
      <c r="M358" s="101" t="s">
        <v>471</v>
      </c>
      <c r="N358" s="101" t="s">
        <v>21</v>
      </c>
      <c r="O358" s="101">
        <v>2020</v>
      </c>
      <c r="P358" s="168" t="s">
        <v>471</v>
      </c>
      <c r="Q358" s="223" t="s">
        <v>475</v>
      </c>
    </row>
    <row r="359" spans="1:17" ht="19.5" x14ac:dyDescent="0.25">
      <c r="A359" s="101"/>
      <c r="B359" s="507" t="s">
        <v>22</v>
      </c>
      <c r="C359" s="507"/>
      <c r="D359" s="117"/>
      <c r="E359" s="101"/>
      <c r="F359" s="37">
        <f>F358</f>
        <v>73.908799999999999</v>
      </c>
      <c r="G359" s="92">
        <f>G358</f>
        <v>73.908799999999999</v>
      </c>
      <c r="H359" s="101"/>
      <c r="I359" s="101"/>
      <c r="J359" s="101"/>
      <c r="K359" s="92">
        <f>K358</f>
        <v>4.3887600000000004</v>
      </c>
      <c r="L359" s="101"/>
      <c r="M359" s="101"/>
      <c r="N359" s="101"/>
      <c r="O359" s="101"/>
      <c r="P359" s="168"/>
    </row>
    <row r="360" spans="1:17" ht="69.599999999999994" customHeight="1" x14ac:dyDescent="0.25">
      <c r="A360" s="101">
        <v>139</v>
      </c>
      <c r="B360" s="117" t="s">
        <v>493</v>
      </c>
      <c r="C360" s="120" t="s">
        <v>491</v>
      </c>
      <c r="D360" s="120" t="s">
        <v>430</v>
      </c>
      <c r="E360" s="101" t="s">
        <v>493</v>
      </c>
      <c r="F360" s="87">
        <f>7065/1000</f>
        <v>7.0650000000000004</v>
      </c>
      <c r="G360" s="89">
        <f>7065/1000</f>
        <v>7.0650000000000004</v>
      </c>
      <c r="H360" s="101" t="s">
        <v>1112</v>
      </c>
      <c r="I360" s="101" t="s">
        <v>469</v>
      </c>
      <c r="J360" s="90">
        <v>48600</v>
      </c>
      <c r="K360" s="89">
        <f>1007/1000</f>
        <v>1.0069999999999999</v>
      </c>
      <c r="L360" s="101">
        <v>7</v>
      </c>
      <c r="M360" s="101" t="s">
        <v>492</v>
      </c>
      <c r="N360" s="101" t="s">
        <v>21</v>
      </c>
      <c r="O360" s="101">
        <v>2020</v>
      </c>
      <c r="P360" s="168" t="s">
        <v>492</v>
      </c>
      <c r="Q360" s="223" t="s">
        <v>475</v>
      </c>
    </row>
    <row r="361" spans="1:17" ht="19.5" x14ac:dyDescent="0.25">
      <c r="A361" s="101"/>
      <c r="B361" s="507" t="s">
        <v>22</v>
      </c>
      <c r="C361" s="507"/>
      <c r="D361" s="117"/>
      <c r="E361" s="101"/>
      <c r="F361" s="37">
        <f>F360</f>
        <v>7.0650000000000004</v>
      </c>
      <c r="G361" s="92">
        <f>G360</f>
        <v>7.0650000000000004</v>
      </c>
      <c r="H361" s="101"/>
      <c r="I361" s="101"/>
      <c r="J361" s="101"/>
      <c r="K361" s="92">
        <f>K360</f>
        <v>1.0069999999999999</v>
      </c>
      <c r="L361" s="101"/>
      <c r="M361" s="101"/>
      <c r="N361" s="101"/>
      <c r="O361" s="101"/>
      <c r="P361" s="168"/>
    </row>
    <row r="362" spans="1:17" ht="54" customHeight="1" x14ac:dyDescent="0.25">
      <c r="A362" s="101">
        <v>140</v>
      </c>
      <c r="B362" s="117" t="s">
        <v>495</v>
      </c>
      <c r="C362" s="120" t="s">
        <v>1600</v>
      </c>
      <c r="D362" s="120" t="s">
        <v>1600</v>
      </c>
      <c r="E362" s="101" t="s">
        <v>495</v>
      </c>
      <c r="F362" s="87">
        <f>55000/1000</f>
        <v>55</v>
      </c>
      <c r="G362" s="89">
        <f>55000/1000</f>
        <v>55</v>
      </c>
      <c r="H362" s="101" t="s">
        <v>1112</v>
      </c>
      <c r="I362" s="101" t="s">
        <v>469</v>
      </c>
      <c r="J362" s="90">
        <v>75000</v>
      </c>
      <c r="K362" s="89">
        <f>3225/1000</f>
        <v>3.2250000000000001</v>
      </c>
      <c r="L362" s="101">
        <v>17</v>
      </c>
      <c r="M362" s="101" t="s">
        <v>471</v>
      </c>
      <c r="N362" s="101" t="s">
        <v>21</v>
      </c>
      <c r="O362" s="101">
        <v>2020</v>
      </c>
      <c r="P362" s="168" t="s">
        <v>471</v>
      </c>
      <c r="Q362" s="223" t="s">
        <v>475</v>
      </c>
    </row>
    <row r="363" spans="1:17" ht="19.5" x14ac:dyDescent="0.25">
      <c r="A363" s="101"/>
      <c r="B363" s="507" t="s">
        <v>22</v>
      </c>
      <c r="C363" s="507"/>
      <c r="D363" s="117"/>
      <c r="E363" s="101"/>
      <c r="F363" s="37">
        <f>F362</f>
        <v>55</v>
      </c>
      <c r="G363" s="92">
        <f>G362</f>
        <v>55</v>
      </c>
      <c r="H363" s="101"/>
      <c r="I363" s="101"/>
      <c r="J363" s="101"/>
      <c r="K363" s="92">
        <f>K362</f>
        <v>3.2250000000000001</v>
      </c>
      <c r="L363" s="101"/>
      <c r="M363" s="101"/>
      <c r="N363" s="101"/>
      <c r="O363" s="101"/>
      <c r="P363" s="168"/>
    </row>
    <row r="364" spans="1:17" ht="58.35" customHeight="1" x14ac:dyDescent="0.25">
      <c r="A364" s="101">
        <v>141</v>
      </c>
      <c r="B364" s="117" t="s">
        <v>498</v>
      </c>
      <c r="C364" s="120" t="s">
        <v>1598</v>
      </c>
      <c r="D364" s="120" t="s">
        <v>1599</v>
      </c>
      <c r="E364" s="101" t="s">
        <v>523</v>
      </c>
      <c r="F364" s="87">
        <f>92666/1000</f>
        <v>92.665999999999997</v>
      </c>
      <c r="G364" s="89">
        <f>92666/1000</f>
        <v>92.665999999999997</v>
      </c>
      <c r="H364" s="101" t="s">
        <v>524</v>
      </c>
      <c r="I364" s="101" t="s">
        <v>469</v>
      </c>
      <c r="J364" s="90">
        <v>784195.2</v>
      </c>
      <c r="K364" s="89">
        <f>12798/1000</f>
        <v>12.798</v>
      </c>
      <c r="L364" s="101">
        <v>7</v>
      </c>
      <c r="M364" s="101" t="s">
        <v>499</v>
      </c>
      <c r="N364" s="101" t="s">
        <v>21</v>
      </c>
      <c r="O364" s="101">
        <v>2020</v>
      </c>
      <c r="P364" s="168" t="s">
        <v>499</v>
      </c>
      <c r="Q364" s="223" t="s">
        <v>477</v>
      </c>
    </row>
    <row r="365" spans="1:17" ht="19.5" x14ac:dyDescent="0.25">
      <c r="A365" s="101"/>
      <c r="B365" s="507" t="s">
        <v>22</v>
      </c>
      <c r="C365" s="507"/>
      <c r="D365" s="117"/>
      <c r="E365" s="101"/>
      <c r="F365" s="37">
        <f>F364</f>
        <v>92.665999999999997</v>
      </c>
      <c r="G365" s="92">
        <f>G364</f>
        <v>92.665999999999997</v>
      </c>
      <c r="H365" s="101"/>
      <c r="I365" s="101"/>
      <c r="J365" s="102"/>
      <c r="K365" s="92">
        <f>K364</f>
        <v>12.798</v>
      </c>
      <c r="L365" s="101"/>
      <c r="M365" s="101"/>
      <c r="N365" s="101"/>
      <c r="O365" s="101"/>
      <c r="P365" s="168"/>
    </row>
    <row r="366" spans="1:17" ht="22.35" customHeight="1" x14ac:dyDescent="0.25">
      <c r="A366" s="427">
        <v>142</v>
      </c>
      <c r="B366" s="439" t="s">
        <v>234</v>
      </c>
      <c r="C366" s="444" t="s">
        <v>500</v>
      </c>
      <c r="D366" s="120" t="s">
        <v>502</v>
      </c>
      <c r="E366" s="427" t="s">
        <v>234</v>
      </c>
      <c r="F366" s="87">
        <f>88198/1000*1.12</f>
        <v>98.781760000000006</v>
      </c>
      <c r="G366" s="89">
        <f>88198/1000*1.12</f>
        <v>98.781760000000006</v>
      </c>
      <c r="H366" s="427" t="s">
        <v>1112</v>
      </c>
      <c r="I366" s="101" t="s">
        <v>37</v>
      </c>
      <c r="J366" s="90">
        <v>3612.48</v>
      </c>
      <c r="K366" s="89">
        <f>5463.771/1000*1.12</f>
        <v>6.1194235199999998</v>
      </c>
      <c r="L366" s="101">
        <v>16.100000000000001</v>
      </c>
      <c r="M366" s="427" t="s">
        <v>499</v>
      </c>
      <c r="N366" s="427" t="s">
        <v>501</v>
      </c>
      <c r="O366" s="427">
        <v>2020</v>
      </c>
      <c r="P366" s="535" t="s">
        <v>499</v>
      </c>
      <c r="Q366" s="518" t="s">
        <v>477</v>
      </c>
    </row>
    <row r="367" spans="1:17" x14ac:dyDescent="0.25">
      <c r="A367" s="427"/>
      <c r="B367" s="439"/>
      <c r="C367" s="444"/>
      <c r="D367" s="120" t="s">
        <v>503</v>
      </c>
      <c r="E367" s="427"/>
      <c r="F367" s="87">
        <f>88198/1000*1.12</f>
        <v>98.781760000000006</v>
      </c>
      <c r="G367" s="89">
        <f>88198/1000*1.12</f>
        <v>98.781760000000006</v>
      </c>
      <c r="H367" s="427"/>
      <c r="I367" s="101" t="s">
        <v>37</v>
      </c>
      <c r="J367" s="90">
        <f>3717.24</f>
        <v>3717.24</v>
      </c>
      <c r="K367" s="89">
        <f>5615.122/1000*1.12</f>
        <v>6.2889366400000011</v>
      </c>
      <c r="L367" s="101">
        <v>15.7</v>
      </c>
      <c r="M367" s="427"/>
      <c r="N367" s="427"/>
      <c r="O367" s="427"/>
      <c r="P367" s="535"/>
      <c r="Q367" s="518"/>
    </row>
    <row r="368" spans="1:17" x14ac:dyDescent="0.25">
      <c r="A368" s="427"/>
      <c r="B368" s="439"/>
      <c r="C368" s="444"/>
      <c r="D368" s="117" t="s">
        <v>504</v>
      </c>
      <c r="E368" s="427"/>
      <c r="F368" s="440">
        <f>317033.995/1000*1.12</f>
        <v>355.07807440000005</v>
      </c>
      <c r="G368" s="520">
        <f>317033.995/1000*1.12</f>
        <v>355.07807440000005</v>
      </c>
      <c r="H368" s="427"/>
      <c r="I368" s="101" t="s">
        <v>469</v>
      </c>
      <c r="J368" s="101">
        <v>1053780</v>
      </c>
      <c r="K368" s="89">
        <f>3307.019/1000*1.12</f>
        <v>3.7038612800000004</v>
      </c>
      <c r="L368" s="427">
        <v>2</v>
      </c>
      <c r="M368" s="427"/>
      <c r="N368" s="427"/>
      <c r="O368" s="427"/>
      <c r="P368" s="535"/>
      <c r="Q368" s="518"/>
    </row>
    <row r="369" spans="1:17" x14ac:dyDescent="0.25">
      <c r="A369" s="427"/>
      <c r="B369" s="439"/>
      <c r="C369" s="444"/>
      <c r="D369" s="117" t="s">
        <v>505</v>
      </c>
      <c r="E369" s="427"/>
      <c r="F369" s="440"/>
      <c r="G369" s="520"/>
      <c r="H369" s="427"/>
      <c r="I369" s="101" t="s">
        <v>469</v>
      </c>
      <c r="J369" s="101">
        <v>212961000</v>
      </c>
      <c r="K369" s="89">
        <f>155887.726/1000*1.12</f>
        <v>174.59425311999999</v>
      </c>
      <c r="L369" s="427"/>
      <c r="M369" s="427"/>
      <c r="N369" s="427"/>
      <c r="O369" s="427"/>
      <c r="P369" s="535"/>
      <c r="Q369" s="518"/>
    </row>
    <row r="370" spans="1:17" ht="19.5" x14ac:dyDescent="0.25">
      <c r="A370" s="101"/>
      <c r="B370" s="507" t="s">
        <v>22</v>
      </c>
      <c r="C370" s="507"/>
      <c r="D370" s="117"/>
      <c r="E370" s="101"/>
      <c r="F370" s="37">
        <f>SUM(F366:F369)</f>
        <v>552.64159440000003</v>
      </c>
      <c r="G370" s="92">
        <f>SUM(G366:G369)</f>
        <v>552.64159440000003</v>
      </c>
      <c r="H370" s="101"/>
      <c r="I370" s="102"/>
      <c r="J370" s="102"/>
      <c r="K370" s="92">
        <f>SUM(K366:K369)</f>
        <v>190.70647456</v>
      </c>
      <c r="L370" s="101"/>
      <c r="M370" s="101"/>
      <c r="N370" s="101"/>
      <c r="O370" s="101"/>
      <c r="P370" s="168"/>
    </row>
    <row r="371" spans="1:17" ht="48" customHeight="1" x14ac:dyDescent="0.25">
      <c r="A371" s="101">
        <v>143</v>
      </c>
      <c r="B371" s="117" t="s">
        <v>508</v>
      </c>
      <c r="C371" s="120" t="s">
        <v>506</v>
      </c>
      <c r="D371" s="120" t="s">
        <v>507</v>
      </c>
      <c r="E371" s="101" t="s">
        <v>525</v>
      </c>
      <c r="F371" s="87">
        <f>7495/1000</f>
        <v>7.4950000000000001</v>
      </c>
      <c r="G371" s="89">
        <f>7495/1000</f>
        <v>7.4950000000000001</v>
      </c>
      <c r="H371" s="101" t="s">
        <v>524</v>
      </c>
      <c r="I371" s="101" t="s">
        <v>469</v>
      </c>
      <c r="J371" s="90">
        <v>50983.199999999997</v>
      </c>
      <c r="K371" s="89">
        <f>832.04/1000</f>
        <v>0.83204</v>
      </c>
      <c r="L371" s="101">
        <v>5</v>
      </c>
      <c r="M371" s="101" t="s">
        <v>499</v>
      </c>
      <c r="N371" s="101" t="s">
        <v>501</v>
      </c>
      <c r="O371" s="101">
        <v>2020</v>
      </c>
      <c r="P371" s="168" t="s">
        <v>499</v>
      </c>
      <c r="Q371" s="223" t="s">
        <v>477</v>
      </c>
    </row>
    <row r="372" spans="1:17" ht="19.5" x14ac:dyDescent="0.25">
      <c r="A372" s="101"/>
      <c r="B372" s="507" t="s">
        <v>22</v>
      </c>
      <c r="C372" s="507"/>
      <c r="D372" s="117"/>
      <c r="E372" s="101"/>
      <c r="F372" s="37">
        <f>F371</f>
        <v>7.4950000000000001</v>
      </c>
      <c r="G372" s="92">
        <f>G371</f>
        <v>7.4950000000000001</v>
      </c>
      <c r="H372" s="101"/>
      <c r="I372" s="101"/>
      <c r="J372" s="101"/>
      <c r="K372" s="92">
        <f>K371</f>
        <v>0.83204</v>
      </c>
      <c r="L372" s="101"/>
      <c r="M372" s="101"/>
      <c r="N372" s="101"/>
      <c r="O372" s="101"/>
      <c r="P372" s="168"/>
    </row>
    <row r="373" spans="1:17" ht="42" customHeight="1" x14ac:dyDescent="0.25">
      <c r="A373" s="101">
        <v>144</v>
      </c>
      <c r="B373" s="117" t="s">
        <v>510</v>
      </c>
      <c r="C373" s="120" t="s">
        <v>509</v>
      </c>
      <c r="D373" s="120" t="s">
        <v>507</v>
      </c>
      <c r="E373" s="101" t="s">
        <v>526</v>
      </c>
      <c r="F373" s="87">
        <f>7500/1000</f>
        <v>7.5</v>
      </c>
      <c r="G373" s="89">
        <f>7500/1000</f>
        <v>7.5</v>
      </c>
      <c r="H373" s="101" t="s">
        <v>524</v>
      </c>
      <c r="I373" s="101" t="s">
        <v>469</v>
      </c>
      <c r="J373" s="90">
        <v>64718.8</v>
      </c>
      <c r="K373" s="89">
        <f>1056.212/1000</f>
        <v>1.0562119999999999</v>
      </c>
      <c r="L373" s="101">
        <v>5</v>
      </c>
      <c r="M373" s="101" t="s">
        <v>499</v>
      </c>
      <c r="N373" s="101" t="s">
        <v>501</v>
      </c>
      <c r="O373" s="101">
        <v>2020</v>
      </c>
      <c r="P373" s="168" t="s">
        <v>499</v>
      </c>
      <c r="Q373" s="223" t="s">
        <v>477</v>
      </c>
    </row>
    <row r="374" spans="1:17" ht="19.5" x14ac:dyDescent="0.25">
      <c r="A374" s="101"/>
      <c r="B374" s="507" t="s">
        <v>22</v>
      </c>
      <c r="C374" s="507"/>
      <c r="D374" s="117"/>
      <c r="E374" s="101"/>
      <c r="F374" s="37">
        <f>F373</f>
        <v>7.5</v>
      </c>
      <c r="G374" s="92">
        <f>G373</f>
        <v>7.5</v>
      </c>
      <c r="H374" s="101"/>
      <c r="I374" s="101"/>
      <c r="J374" s="101"/>
      <c r="K374" s="92">
        <f>K373</f>
        <v>1.0562119999999999</v>
      </c>
      <c r="L374" s="101"/>
      <c r="M374" s="101"/>
      <c r="N374" s="101"/>
      <c r="O374" s="101"/>
      <c r="P374" s="168"/>
    </row>
    <row r="375" spans="1:17" ht="49.5" customHeight="1" x14ac:dyDescent="0.25">
      <c r="A375" s="427">
        <v>145</v>
      </c>
      <c r="B375" s="439" t="s">
        <v>512</v>
      </c>
      <c r="C375" s="444" t="s">
        <v>511</v>
      </c>
      <c r="D375" s="120" t="s">
        <v>529</v>
      </c>
      <c r="E375" s="427" t="s">
        <v>522</v>
      </c>
      <c r="F375" s="87">
        <f>17270.1/1000</f>
        <v>17.270099999999999</v>
      </c>
      <c r="G375" s="89">
        <f>17270.1/1000</f>
        <v>17.270099999999999</v>
      </c>
      <c r="H375" s="427" t="s">
        <v>524</v>
      </c>
      <c r="I375" s="101" t="s">
        <v>514</v>
      </c>
      <c r="J375" s="90">
        <v>16.7</v>
      </c>
      <c r="K375" s="89">
        <f>3202/1000</f>
        <v>3.202</v>
      </c>
      <c r="L375" s="101">
        <v>5.4</v>
      </c>
      <c r="M375" s="427" t="s">
        <v>438</v>
      </c>
      <c r="N375" s="427" t="s">
        <v>501</v>
      </c>
      <c r="O375" s="427">
        <v>2020</v>
      </c>
      <c r="P375" s="535" t="s">
        <v>438</v>
      </c>
      <c r="Q375" s="518" t="s">
        <v>480</v>
      </c>
    </row>
    <row r="376" spans="1:17" x14ac:dyDescent="0.25">
      <c r="A376" s="427"/>
      <c r="B376" s="439"/>
      <c r="C376" s="444"/>
      <c r="D376" s="120" t="s">
        <v>513</v>
      </c>
      <c r="E376" s="427"/>
      <c r="F376" s="87">
        <f>6072/1000</f>
        <v>6.0720000000000001</v>
      </c>
      <c r="G376" s="89">
        <f>6072/1000</f>
        <v>6.0720000000000001</v>
      </c>
      <c r="H376" s="427"/>
      <c r="I376" s="101" t="s">
        <v>469</v>
      </c>
      <c r="J376" s="90">
        <v>1307967</v>
      </c>
      <c r="K376" s="89">
        <f>1877.4/1000</f>
        <v>1.8774000000000002</v>
      </c>
      <c r="L376" s="101">
        <v>3.2</v>
      </c>
      <c r="M376" s="427"/>
      <c r="N376" s="427"/>
      <c r="O376" s="427"/>
      <c r="P376" s="535"/>
      <c r="Q376" s="518"/>
    </row>
    <row r="377" spans="1:17" ht="19.5" x14ac:dyDescent="0.25">
      <c r="A377" s="101"/>
      <c r="B377" s="507" t="s">
        <v>22</v>
      </c>
      <c r="C377" s="507"/>
      <c r="D377" s="117"/>
      <c r="E377" s="101"/>
      <c r="F377" s="37">
        <f>SUM(F375:F376)</f>
        <v>23.342099999999999</v>
      </c>
      <c r="G377" s="92">
        <f>SUM(G375:G376)</f>
        <v>23.342099999999999</v>
      </c>
      <c r="H377" s="101"/>
      <c r="I377" s="101"/>
      <c r="J377" s="101"/>
      <c r="K377" s="92">
        <f>K375+K376</f>
        <v>5.0793999999999997</v>
      </c>
      <c r="L377" s="101"/>
      <c r="M377" s="101"/>
      <c r="N377" s="101"/>
      <c r="O377" s="101"/>
      <c r="P377" s="168"/>
    </row>
    <row r="378" spans="1:17" ht="84" customHeight="1" x14ac:dyDescent="0.25">
      <c r="A378" s="101">
        <v>146</v>
      </c>
      <c r="B378" s="117" t="s">
        <v>516</v>
      </c>
      <c r="C378" s="120" t="s">
        <v>1597</v>
      </c>
      <c r="D378" s="120" t="s">
        <v>1384</v>
      </c>
      <c r="E378" s="101" t="s">
        <v>516</v>
      </c>
      <c r="F378" s="87">
        <f>7200/1000</f>
        <v>7.2</v>
      </c>
      <c r="G378" s="89">
        <f>7200/1000</f>
        <v>7.2</v>
      </c>
      <c r="H378" s="101" t="s">
        <v>1112</v>
      </c>
      <c r="I378" s="101" t="s">
        <v>469</v>
      </c>
      <c r="J378" s="90">
        <v>103328</v>
      </c>
      <c r="K378" s="89">
        <f>1354/1000</f>
        <v>1.3540000000000001</v>
      </c>
      <c r="L378" s="101">
        <v>5</v>
      </c>
      <c r="M378" s="101" t="s">
        <v>517</v>
      </c>
      <c r="N378" s="101" t="s">
        <v>501</v>
      </c>
      <c r="O378" s="101">
        <v>2020</v>
      </c>
      <c r="P378" s="168" t="s">
        <v>517</v>
      </c>
      <c r="Q378" s="223" t="s">
        <v>483</v>
      </c>
    </row>
    <row r="379" spans="1:17" ht="19.5" x14ac:dyDescent="0.25">
      <c r="A379" s="101"/>
      <c r="B379" s="507" t="s">
        <v>22</v>
      </c>
      <c r="C379" s="507"/>
      <c r="D379" s="117"/>
      <c r="E379" s="101"/>
      <c r="F379" s="37">
        <f>F378</f>
        <v>7.2</v>
      </c>
      <c r="G379" s="92">
        <f>G378</f>
        <v>7.2</v>
      </c>
      <c r="H379" s="101"/>
      <c r="I379" s="101"/>
      <c r="J379" s="101"/>
      <c r="K379" s="92">
        <f>K378</f>
        <v>1.3540000000000001</v>
      </c>
      <c r="L379" s="101"/>
      <c r="M379" s="101"/>
      <c r="N379" s="101"/>
      <c r="O379" s="101"/>
      <c r="P379" s="168"/>
    </row>
    <row r="380" spans="1:17" ht="58.35" customHeight="1" x14ac:dyDescent="0.25">
      <c r="A380" s="101">
        <v>147</v>
      </c>
      <c r="B380" s="117" t="s">
        <v>493</v>
      </c>
      <c r="C380" s="120" t="s">
        <v>518</v>
      </c>
      <c r="D380" s="120" t="s">
        <v>518</v>
      </c>
      <c r="E380" s="101" t="s">
        <v>493</v>
      </c>
      <c r="F380" s="87">
        <f>73876/1000</f>
        <v>73.876000000000005</v>
      </c>
      <c r="G380" s="89">
        <f>73876/1000</f>
        <v>73.876000000000005</v>
      </c>
      <c r="H380" s="101" t="s">
        <v>1112</v>
      </c>
      <c r="I380" s="101" t="s">
        <v>37</v>
      </c>
      <c r="J380" s="90">
        <v>36343</v>
      </c>
      <c r="K380" s="89">
        <f>101170.553/1000</f>
        <v>101.170553</v>
      </c>
      <c r="L380" s="101">
        <v>0.73</v>
      </c>
      <c r="M380" s="101" t="s">
        <v>492</v>
      </c>
      <c r="N380" s="101" t="s">
        <v>501</v>
      </c>
      <c r="O380" s="101">
        <v>2020</v>
      </c>
      <c r="P380" s="168" t="s">
        <v>492</v>
      </c>
      <c r="Q380" s="223" t="s">
        <v>475</v>
      </c>
    </row>
    <row r="381" spans="1:17" ht="22.5" customHeight="1" x14ac:dyDescent="0.25">
      <c r="A381" s="101"/>
      <c r="B381" s="507" t="s">
        <v>22</v>
      </c>
      <c r="C381" s="507"/>
      <c r="D381" s="117"/>
      <c r="E381" s="101"/>
      <c r="F381" s="37">
        <f>F380</f>
        <v>73.876000000000005</v>
      </c>
      <c r="G381" s="92">
        <f>G380</f>
        <v>73.876000000000005</v>
      </c>
      <c r="H381" s="101"/>
      <c r="I381" s="101"/>
      <c r="J381" s="101"/>
      <c r="K381" s="92">
        <f>K380</f>
        <v>101.170553</v>
      </c>
      <c r="L381" s="101"/>
      <c r="M381" s="101"/>
      <c r="N381" s="101"/>
      <c r="O381" s="101"/>
      <c r="P381" s="168"/>
    </row>
    <row r="382" spans="1:17" ht="46.35" customHeight="1" x14ac:dyDescent="0.25">
      <c r="A382" s="101">
        <v>148</v>
      </c>
      <c r="B382" s="117" t="s">
        <v>521</v>
      </c>
      <c r="C382" s="120" t="s">
        <v>519</v>
      </c>
      <c r="D382" s="120" t="s">
        <v>520</v>
      </c>
      <c r="E382" s="101" t="s">
        <v>521</v>
      </c>
      <c r="F382" s="87">
        <f>624.41/1000</f>
        <v>0.62441000000000002</v>
      </c>
      <c r="G382" s="89">
        <f>624.41/1000</f>
        <v>0.62441000000000002</v>
      </c>
      <c r="H382" s="101" t="s">
        <v>1112</v>
      </c>
      <c r="I382" s="101" t="s">
        <v>469</v>
      </c>
      <c r="J382" s="90">
        <v>12171</v>
      </c>
      <c r="K382" s="89">
        <f>208.136/1000</f>
        <v>0.20813599999999999</v>
      </c>
      <c r="L382" s="101">
        <v>3</v>
      </c>
      <c r="M382" s="101" t="s">
        <v>442</v>
      </c>
      <c r="N382" s="101" t="s">
        <v>21</v>
      </c>
      <c r="O382" s="101">
        <v>2020</v>
      </c>
      <c r="P382" s="168" t="s">
        <v>442</v>
      </c>
      <c r="Q382" s="223" t="s">
        <v>478</v>
      </c>
    </row>
    <row r="383" spans="1:17" ht="19.5" x14ac:dyDescent="0.25">
      <c r="A383" s="101"/>
      <c r="B383" s="507" t="s">
        <v>22</v>
      </c>
      <c r="C383" s="507"/>
      <c r="D383" s="117"/>
      <c r="E383" s="101"/>
      <c r="F383" s="37">
        <f>F382</f>
        <v>0.62441000000000002</v>
      </c>
      <c r="G383" s="92">
        <f>G382</f>
        <v>0.62441000000000002</v>
      </c>
      <c r="H383" s="101"/>
      <c r="I383" s="101"/>
      <c r="J383" s="101"/>
      <c r="K383" s="92">
        <f>K382</f>
        <v>0.20813599999999999</v>
      </c>
      <c r="L383" s="101"/>
      <c r="M383" s="101"/>
      <c r="N383" s="101"/>
      <c r="O383" s="101"/>
      <c r="P383" s="168"/>
    </row>
    <row r="384" spans="1:17" ht="50.1" customHeight="1" x14ac:dyDescent="0.25">
      <c r="A384" s="101">
        <v>149</v>
      </c>
      <c r="B384" s="117" t="s">
        <v>532</v>
      </c>
      <c r="C384" s="120" t="s">
        <v>531</v>
      </c>
      <c r="D384" s="120" t="s">
        <v>1432</v>
      </c>
      <c r="E384" s="101" t="s">
        <v>534</v>
      </c>
      <c r="F384" s="87">
        <f>446015/1000</f>
        <v>446.01499999999999</v>
      </c>
      <c r="G384" s="89">
        <f>446015/1000</f>
        <v>446.01499999999999</v>
      </c>
      <c r="H384" s="101" t="s">
        <v>427</v>
      </c>
      <c r="I384" s="101" t="s">
        <v>469</v>
      </c>
      <c r="J384" s="90">
        <v>2042462</v>
      </c>
      <c r="K384" s="89">
        <f>43790/1000</f>
        <v>43.79</v>
      </c>
      <c r="L384" s="101">
        <v>10</v>
      </c>
      <c r="M384" s="101" t="s">
        <v>438</v>
      </c>
      <c r="N384" s="101" t="s">
        <v>21</v>
      </c>
      <c r="O384" s="101">
        <v>2020</v>
      </c>
      <c r="P384" s="168" t="s">
        <v>438</v>
      </c>
      <c r="Q384" s="223" t="s">
        <v>479</v>
      </c>
    </row>
    <row r="385" spans="1:18" ht="19.5" x14ac:dyDescent="0.25">
      <c r="A385" s="101"/>
      <c r="B385" s="507" t="s">
        <v>22</v>
      </c>
      <c r="C385" s="507"/>
      <c r="D385" s="117"/>
      <c r="E385" s="101"/>
      <c r="F385" s="37">
        <f>F384</f>
        <v>446.01499999999999</v>
      </c>
      <c r="G385" s="92">
        <f>G384</f>
        <v>446.01499999999999</v>
      </c>
      <c r="H385" s="101"/>
      <c r="I385" s="101"/>
      <c r="J385" s="101"/>
      <c r="K385" s="92">
        <f>K384</f>
        <v>43.79</v>
      </c>
      <c r="L385" s="101"/>
      <c r="M385" s="101"/>
      <c r="N385" s="101"/>
      <c r="O385" s="101"/>
      <c r="P385" s="168"/>
    </row>
    <row r="386" spans="1:18" s="228" customFormat="1" ht="22.5" customHeight="1" x14ac:dyDescent="0.25">
      <c r="A386" s="159"/>
      <c r="B386" s="220" t="s">
        <v>443</v>
      </c>
      <c r="C386" s="529"/>
      <c r="D386" s="529"/>
      <c r="E386" s="159"/>
      <c r="F386" s="157">
        <f>F317+F319+F321+F323+F325+F327+F329+F332+F335+F337+F339+F341+F343+F345+F347+F349+F353+F351+F355+F357+F359+F361+F363+F365+F370+F372+F374+F377+F379+F381+F383+F385</f>
        <v>6943.1756043999994</v>
      </c>
      <c r="G386" s="306">
        <f>G317+G319+G321+G323+G325+G327+G329+G332+G335+G337+G339+G341+G343+G345+G347+G349+G353+G351+G355+G357+G359+G361+G363+G365+G370+G372+G374+G377+G379+G381+G383+G385</f>
        <v>6943.1756043999994</v>
      </c>
      <c r="H386" s="159"/>
      <c r="I386" s="157"/>
      <c r="J386" s="157"/>
      <c r="K386" s="306">
        <f>K317+K319+K321+K323+K325+K327+K329+K332+K335+K337+K339+K341+K343+K345+K347+K349+K353+K351+K355+K357+K359+K361+K363+K365+K370+K372+K374+K377+K379+K381+K383+K385</f>
        <v>869.80381955999997</v>
      </c>
      <c r="L386" s="159"/>
      <c r="M386" s="159"/>
      <c r="N386" s="159"/>
      <c r="O386" s="159"/>
      <c r="P386" s="224"/>
    </row>
    <row r="387" spans="1:18" s="221" customFormat="1" ht="65.25" customHeight="1" x14ac:dyDescent="0.25">
      <c r="A387" s="101">
        <v>150</v>
      </c>
      <c r="B387" s="117" t="s">
        <v>1058</v>
      </c>
      <c r="C387" s="120" t="s">
        <v>1378</v>
      </c>
      <c r="D387" s="120" t="s">
        <v>1596</v>
      </c>
      <c r="E387" s="101" t="s">
        <v>1058</v>
      </c>
      <c r="F387" s="87">
        <f>1804709/1000</f>
        <v>1804.7090000000001</v>
      </c>
      <c r="G387" s="89">
        <f>1804709/1000</f>
        <v>1804.7090000000001</v>
      </c>
      <c r="H387" s="101" t="s">
        <v>1112</v>
      </c>
      <c r="I387" s="87" t="s">
        <v>1110</v>
      </c>
      <c r="J387" s="90">
        <v>1350579</v>
      </c>
      <c r="K387" s="89">
        <f>27713.881/1000</f>
        <v>27.713881000000001</v>
      </c>
      <c r="L387" s="101">
        <v>3</v>
      </c>
      <c r="M387" s="101" t="s">
        <v>1061</v>
      </c>
      <c r="N387" s="101" t="s">
        <v>312</v>
      </c>
      <c r="O387" s="101">
        <v>2021</v>
      </c>
      <c r="P387" s="168" t="s">
        <v>1061</v>
      </c>
      <c r="Q387" s="230" t="s">
        <v>1123</v>
      </c>
      <c r="R387" s="230"/>
    </row>
    <row r="388" spans="1:18" s="221" customFormat="1" ht="22.5" customHeight="1" x14ac:dyDescent="0.25">
      <c r="A388" s="101"/>
      <c r="B388" s="507" t="s">
        <v>22</v>
      </c>
      <c r="C388" s="507"/>
      <c r="D388" s="117"/>
      <c r="E388" s="101"/>
      <c r="F388" s="37">
        <f>SUM(F387:F387)</f>
        <v>1804.7090000000001</v>
      </c>
      <c r="G388" s="92">
        <f>SUM(G387:G387)</f>
        <v>1804.7090000000001</v>
      </c>
      <c r="H388" s="101"/>
      <c r="I388" s="102"/>
      <c r="J388" s="102"/>
      <c r="K388" s="92">
        <f>K387</f>
        <v>27.713881000000001</v>
      </c>
      <c r="L388" s="101"/>
      <c r="M388" s="101"/>
      <c r="N388" s="101"/>
      <c r="O388" s="101"/>
      <c r="P388" s="168"/>
    </row>
    <row r="389" spans="1:18" ht="138.6" customHeight="1" x14ac:dyDescent="0.25">
      <c r="A389" s="101">
        <v>151</v>
      </c>
      <c r="B389" s="117" t="s">
        <v>88</v>
      </c>
      <c r="C389" s="120" t="s">
        <v>1062</v>
      </c>
      <c r="D389" s="120" t="s">
        <v>1595</v>
      </c>
      <c r="E389" s="101" t="s">
        <v>1433</v>
      </c>
      <c r="F389" s="87">
        <v>8374.7479999999996</v>
      </c>
      <c r="G389" s="89">
        <v>8374.7479999999996</v>
      </c>
      <c r="H389" s="101" t="s">
        <v>427</v>
      </c>
      <c r="I389" s="87" t="s">
        <v>1110</v>
      </c>
      <c r="J389" s="90">
        <v>3717000</v>
      </c>
      <c r="K389" s="89">
        <v>66.757320000000007</v>
      </c>
      <c r="L389" s="101">
        <v>5</v>
      </c>
      <c r="M389" s="101" t="s">
        <v>1064</v>
      </c>
      <c r="N389" s="101" t="s">
        <v>312</v>
      </c>
      <c r="O389" s="101">
        <v>2021</v>
      </c>
      <c r="P389" s="168" t="s">
        <v>1064</v>
      </c>
      <c r="Q389" s="223" t="s">
        <v>476</v>
      </c>
    </row>
    <row r="390" spans="1:18" ht="19.5" x14ac:dyDescent="0.25">
      <c r="A390" s="101"/>
      <c r="B390" s="507" t="s">
        <v>22</v>
      </c>
      <c r="C390" s="507"/>
      <c r="D390" s="117"/>
      <c r="E390" s="101"/>
      <c r="F390" s="37">
        <f>SUM(F389:F389)</f>
        <v>8374.7479999999996</v>
      </c>
      <c r="G390" s="92">
        <f>SUM(G389:G389)</f>
        <v>8374.7479999999996</v>
      </c>
      <c r="H390" s="101"/>
      <c r="I390" s="102"/>
      <c r="J390" s="102"/>
      <c r="K390" s="92">
        <f>K389</f>
        <v>66.757320000000007</v>
      </c>
      <c r="L390" s="101"/>
      <c r="M390" s="101"/>
      <c r="N390" s="101"/>
      <c r="O390" s="101"/>
      <c r="P390" s="168"/>
    </row>
    <row r="391" spans="1:18" ht="37.5" x14ac:dyDescent="0.25">
      <c r="A391" s="101">
        <v>152</v>
      </c>
      <c r="B391" s="117" t="s">
        <v>1065</v>
      </c>
      <c r="C391" s="120" t="s">
        <v>1066</v>
      </c>
      <c r="D391" s="120" t="s">
        <v>1423</v>
      </c>
      <c r="E391" s="101" t="s">
        <v>1067</v>
      </c>
      <c r="F391" s="87">
        <v>113.7491</v>
      </c>
      <c r="G391" s="89">
        <v>113.7491</v>
      </c>
      <c r="H391" s="101" t="s">
        <v>524</v>
      </c>
      <c r="I391" s="87" t="s">
        <v>1110</v>
      </c>
      <c r="J391" s="90">
        <v>696400</v>
      </c>
      <c r="K391" s="89">
        <v>19.2624</v>
      </c>
      <c r="L391" s="101">
        <v>5.9</v>
      </c>
      <c r="M391" s="101" t="s">
        <v>1068</v>
      </c>
      <c r="N391" s="101" t="s">
        <v>21</v>
      </c>
      <c r="O391" s="101">
        <v>2021</v>
      </c>
      <c r="P391" s="168" t="s">
        <v>1068</v>
      </c>
      <c r="Q391" s="230" t="s">
        <v>483</v>
      </c>
      <c r="R391" s="230"/>
    </row>
    <row r="392" spans="1:18" ht="19.5" x14ac:dyDescent="0.25">
      <c r="A392" s="101"/>
      <c r="B392" s="507" t="s">
        <v>22</v>
      </c>
      <c r="C392" s="507"/>
      <c r="D392" s="117"/>
      <c r="E392" s="101"/>
      <c r="F392" s="88">
        <v>113.7491</v>
      </c>
      <c r="G392" s="92">
        <v>113.7491</v>
      </c>
      <c r="H392" s="101"/>
      <c r="I392" s="101"/>
      <c r="J392" s="101"/>
      <c r="K392" s="92">
        <f>K391</f>
        <v>19.2624</v>
      </c>
      <c r="L392" s="101"/>
      <c r="M392" s="101"/>
      <c r="N392" s="101"/>
      <c r="O392" s="101"/>
      <c r="P392" s="168"/>
    </row>
    <row r="393" spans="1:18" ht="37.5" x14ac:dyDescent="0.25">
      <c r="A393" s="101">
        <v>153</v>
      </c>
      <c r="B393" s="117" t="s">
        <v>1069</v>
      </c>
      <c r="C393" s="120" t="s">
        <v>1070</v>
      </c>
      <c r="D393" s="120" t="s">
        <v>1424</v>
      </c>
      <c r="E393" s="101" t="s">
        <v>1067</v>
      </c>
      <c r="F393" s="87">
        <v>129.47999999999999</v>
      </c>
      <c r="G393" s="89">
        <v>129.47999999999999</v>
      </c>
      <c r="H393" s="101" t="s">
        <v>524</v>
      </c>
      <c r="I393" s="87" t="s">
        <v>1110</v>
      </c>
      <c r="J393" s="90">
        <v>367200</v>
      </c>
      <c r="K393" s="89">
        <v>10.1568</v>
      </c>
      <c r="L393" s="101">
        <v>8.3000000000000007</v>
      </c>
      <c r="M393" s="101" t="s">
        <v>1068</v>
      </c>
      <c r="N393" s="101" t="s">
        <v>21</v>
      </c>
      <c r="O393" s="101">
        <v>2020</v>
      </c>
      <c r="P393" s="168" t="s">
        <v>1068</v>
      </c>
      <c r="Q393" s="223" t="s">
        <v>476</v>
      </c>
    </row>
    <row r="394" spans="1:18" ht="19.5" x14ac:dyDescent="0.25">
      <c r="A394" s="101"/>
      <c r="B394" s="507" t="s">
        <v>22</v>
      </c>
      <c r="C394" s="507"/>
      <c r="D394" s="117"/>
      <c r="E394" s="101"/>
      <c r="F394" s="37">
        <f>F393</f>
        <v>129.47999999999999</v>
      </c>
      <c r="G394" s="92">
        <f>G393</f>
        <v>129.47999999999999</v>
      </c>
      <c r="H394" s="101"/>
      <c r="I394" s="101"/>
      <c r="J394" s="101"/>
      <c r="K394" s="92">
        <f>K393</f>
        <v>10.1568</v>
      </c>
      <c r="L394" s="101"/>
      <c r="M394" s="101"/>
      <c r="N394" s="101"/>
      <c r="O394" s="101"/>
      <c r="P394" s="168"/>
    </row>
    <row r="395" spans="1:18" ht="56.25" x14ac:dyDescent="0.25">
      <c r="A395" s="101">
        <v>154</v>
      </c>
      <c r="B395" s="117" t="s">
        <v>1383</v>
      </c>
      <c r="C395" s="120" t="s">
        <v>1072</v>
      </c>
      <c r="D395" s="120" t="s">
        <v>1425</v>
      </c>
      <c r="E395" s="101" t="s">
        <v>522</v>
      </c>
      <c r="F395" s="87">
        <v>4.3042999999999996</v>
      </c>
      <c r="G395" s="89">
        <v>4.3042999999999996</v>
      </c>
      <c r="H395" s="101" t="s">
        <v>524</v>
      </c>
      <c r="I395" s="87" t="s">
        <v>1110</v>
      </c>
      <c r="J395" s="90">
        <v>55800</v>
      </c>
      <c r="K395" s="89">
        <v>0.87860000000000005</v>
      </c>
      <c r="L395" s="101">
        <v>4.9000000000000004</v>
      </c>
      <c r="M395" s="101" t="s">
        <v>471</v>
      </c>
      <c r="N395" s="101" t="s">
        <v>21</v>
      </c>
      <c r="O395" s="101">
        <v>2021</v>
      </c>
      <c r="P395" s="168" t="s">
        <v>471</v>
      </c>
      <c r="Q395" s="223" t="s">
        <v>483</v>
      </c>
    </row>
    <row r="396" spans="1:18" ht="19.5" x14ac:dyDescent="0.25">
      <c r="A396" s="101"/>
      <c r="B396" s="507" t="s">
        <v>22</v>
      </c>
      <c r="C396" s="507"/>
      <c r="D396" s="117"/>
      <c r="E396" s="101"/>
      <c r="F396" s="37">
        <f>SUM(F395:F395)</f>
        <v>4.3042999999999996</v>
      </c>
      <c r="G396" s="92">
        <f>SUM(G395:G395)</f>
        <v>4.3042999999999996</v>
      </c>
      <c r="H396" s="101"/>
      <c r="I396" s="101"/>
      <c r="J396" s="101"/>
      <c r="K396" s="92">
        <f>K395</f>
        <v>0.87860000000000005</v>
      </c>
      <c r="L396" s="101"/>
      <c r="M396" s="101"/>
      <c r="N396" s="101"/>
      <c r="O396" s="101"/>
      <c r="P396" s="168"/>
    </row>
    <row r="397" spans="1:18" ht="87.75" customHeight="1" x14ac:dyDescent="0.25">
      <c r="A397" s="101">
        <v>155</v>
      </c>
      <c r="B397" s="117" t="s">
        <v>1379</v>
      </c>
      <c r="C397" s="120" t="s">
        <v>1593</v>
      </c>
      <c r="D397" s="120" t="s">
        <v>1426</v>
      </c>
      <c r="E397" s="101" t="s">
        <v>1075</v>
      </c>
      <c r="F397" s="87">
        <v>49.051000000000002</v>
      </c>
      <c r="G397" s="89">
        <v>49.051000000000002</v>
      </c>
      <c r="H397" s="101" t="s">
        <v>524</v>
      </c>
      <c r="I397" s="87" t="s">
        <v>1110</v>
      </c>
      <c r="J397" s="90">
        <v>76173</v>
      </c>
      <c r="K397" s="89">
        <v>2.6538680000000001</v>
      </c>
      <c r="L397" s="101">
        <v>18.399999999999999</v>
      </c>
      <c r="M397" s="101" t="s">
        <v>1061</v>
      </c>
      <c r="N397" s="101" t="s">
        <v>21</v>
      </c>
      <c r="O397" s="101">
        <v>2021</v>
      </c>
      <c r="P397" s="168" t="s">
        <v>1061</v>
      </c>
      <c r="Q397" s="223" t="s">
        <v>1123</v>
      </c>
    </row>
    <row r="398" spans="1:18" ht="19.5" x14ac:dyDescent="0.25">
      <c r="A398" s="101"/>
      <c r="B398" s="507" t="s">
        <v>22</v>
      </c>
      <c r="C398" s="507"/>
      <c r="D398" s="117"/>
      <c r="E398" s="101"/>
      <c r="F398" s="37">
        <f>F397</f>
        <v>49.051000000000002</v>
      </c>
      <c r="G398" s="92">
        <f>G397</f>
        <v>49.051000000000002</v>
      </c>
      <c r="H398" s="101"/>
      <c r="I398" s="101"/>
      <c r="J398" s="101"/>
      <c r="K398" s="92">
        <f>K397</f>
        <v>2.6538680000000001</v>
      </c>
      <c r="L398" s="101"/>
      <c r="M398" s="101"/>
      <c r="N398" s="101"/>
      <c r="O398" s="101"/>
      <c r="P398" s="168"/>
    </row>
    <row r="399" spans="1:18" ht="66.400000000000006" customHeight="1" x14ac:dyDescent="0.25">
      <c r="A399" s="101">
        <v>156</v>
      </c>
      <c r="B399" s="120" t="s">
        <v>1172</v>
      </c>
      <c r="C399" s="120" t="s">
        <v>1592</v>
      </c>
      <c r="D399" s="120" t="s">
        <v>1444</v>
      </c>
      <c r="E399" s="101" t="s">
        <v>522</v>
      </c>
      <c r="F399" s="87">
        <v>27.896999999999998</v>
      </c>
      <c r="G399" s="89">
        <v>27.896999999999998</v>
      </c>
      <c r="H399" s="101" t="s">
        <v>524</v>
      </c>
      <c r="I399" s="87" t="s">
        <v>1110</v>
      </c>
      <c r="J399" s="90">
        <v>128400</v>
      </c>
      <c r="K399" s="89">
        <v>3.3325</v>
      </c>
      <c r="L399" s="101">
        <v>8.4</v>
      </c>
      <c r="M399" s="101" t="s">
        <v>492</v>
      </c>
      <c r="N399" s="101" t="s">
        <v>21</v>
      </c>
      <c r="O399" s="101">
        <v>2021</v>
      </c>
      <c r="P399" s="168" t="s">
        <v>492</v>
      </c>
      <c r="Q399" s="223" t="s">
        <v>1124</v>
      </c>
    </row>
    <row r="400" spans="1:18" ht="19.5" x14ac:dyDescent="0.25">
      <c r="A400" s="101"/>
      <c r="B400" s="507" t="s">
        <v>22</v>
      </c>
      <c r="C400" s="507"/>
      <c r="D400" s="117"/>
      <c r="E400" s="101"/>
      <c r="F400" s="37">
        <f>F399</f>
        <v>27.896999999999998</v>
      </c>
      <c r="G400" s="92">
        <f>G399</f>
        <v>27.896999999999998</v>
      </c>
      <c r="H400" s="101"/>
      <c r="I400" s="101"/>
      <c r="J400" s="101"/>
      <c r="K400" s="92">
        <f>K399</f>
        <v>3.3325</v>
      </c>
      <c r="L400" s="101"/>
      <c r="M400" s="101"/>
      <c r="N400" s="101"/>
      <c r="O400" s="101"/>
      <c r="P400" s="168"/>
    </row>
    <row r="401" spans="1:19" ht="45.6" customHeight="1" x14ac:dyDescent="0.25">
      <c r="A401" s="101">
        <v>157</v>
      </c>
      <c r="B401" s="117" t="s">
        <v>1590</v>
      </c>
      <c r="C401" s="120" t="s">
        <v>1594</v>
      </c>
      <c r="D401" s="120" t="s">
        <v>1591</v>
      </c>
      <c r="E401" s="101" t="s">
        <v>1080</v>
      </c>
      <c r="F401" s="87">
        <v>10588.367</v>
      </c>
      <c r="G401" s="89">
        <v>10588.367</v>
      </c>
      <c r="H401" s="101" t="s">
        <v>427</v>
      </c>
      <c r="I401" s="87" t="s">
        <v>1110</v>
      </c>
      <c r="J401" s="89">
        <v>1207.92</v>
      </c>
      <c r="K401" s="89">
        <v>35.635109999999997</v>
      </c>
      <c r="L401" s="101" t="s">
        <v>1430</v>
      </c>
      <c r="M401" s="101" t="s">
        <v>1081</v>
      </c>
      <c r="N401" s="101" t="s">
        <v>312</v>
      </c>
      <c r="O401" s="101">
        <v>2021</v>
      </c>
      <c r="P401" s="168" t="s">
        <v>1081</v>
      </c>
      <c r="Q401" s="223" t="s">
        <v>483</v>
      </c>
      <c r="S401" s="223" t="s">
        <v>1429</v>
      </c>
    </row>
    <row r="402" spans="1:19" ht="19.5" x14ac:dyDescent="0.25">
      <c r="A402" s="101"/>
      <c r="B402" s="507" t="s">
        <v>22</v>
      </c>
      <c r="C402" s="507"/>
      <c r="D402" s="117"/>
      <c r="E402" s="101"/>
      <c r="F402" s="37">
        <f>F401</f>
        <v>10588.367</v>
      </c>
      <c r="G402" s="92">
        <f>G401</f>
        <v>10588.367</v>
      </c>
      <c r="H402" s="101"/>
      <c r="I402" s="101"/>
      <c r="J402" s="101"/>
      <c r="K402" s="92">
        <f>K401</f>
        <v>35.635109999999997</v>
      </c>
      <c r="L402" s="101"/>
      <c r="M402" s="101"/>
      <c r="N402" s="101"/>
      <c r="O402" s="101"/>
      <c r="P402" s="168"/>
    </row>
    <row r="403" spans="1:19" ht="75" x14ac:dyDescent="0.25">
      <c r="A403" s="101">
        <v>158</v>
      </c>
      <c r="B403" s="117" t="s">
        <v>1173</v>
      </c>
      <c r="C403" s="117" t="s">
        <v>1159</v>
      </c>
      <c r="D403" s="117" t="s">
        <v>1160</v>
      </c>
      <c r="E403" s="101" t="s">
        <v>94</v>
      </c>
      <c r="F403" s="87">
        <v>975.10699999999997</v>
      </c>
      <c r="G403" s="89">
        <v>975.10699999999997</v>
      </c>
      <c r="H403" s="101" t="s">
        <v>428</v>
      </c>
      <c r="I403" s="87" t="s">
        <v>456</v>
      </c>
      <c r="J403" s="90">
        <v>44163358</v>
      </c>
      <c r="K403" s="89">
        <v>366.02589999999998</v>
      </c>
      <c r="L403" s="101">
        <v>3.2</v>
      </c>
      <c r="M403" s="101" t="s">
        <v>471</v>
      </c>
      <c r="N403" s="101" t="s">
        <v>21</v>
      </c>
      <c r="O403" s="101">
        <v>2021</v>
      </c>
      <c r="P403" s="168" t="s">
        <v>471</v>
      </c>
      <c r="Q403" s="223" t="s">
        <v>1125</v>
      </c>
    </row>
    <row r="404" spans="1:19" ht="19.5" x14ac:dyDescent="0.25">
      <c r="A404" s="101"/>
      <c r="B404" s="507" t="s">
        <v>22</v>
      </c>
      <c r="C404" s="507"/>
      <c r="D404" s="117"/>
      <c r="E404" s="101"/>
      <c r="F404" s="37">
        <f>F403</f>
        <v>975.10699999999997</v>
      </c>
      <c r="G404" s="92">
        <f>G403</f>
        <v>975.10699999999997</v>
      </c>
      <c r="H404" s="101"/>
      <c r="I404" s="101"/>
      <c r="J404" s="101"/>
      <c r="K404" s="92">
        <f>K403</f>
        <v>366.02589999999998</v>
      </c>
      <c r="L404" s="101"/>
      <c r="M404" s="101"/>
      <c r="N404" s="101"/>
      <c r="O404" s="101"/>
      <c r="P404" s="168"/>
    </row>
    <row r="405" spans="1:19" ht="164.1" customHeight="1" x14ac:dyDescent="0.25">
      <c r="A405" s="101">
        <v>159</v>
      </c>
      <c r="B405" s="117" t="s">
        <v>1108</v>
      </c>
      <c r="C405" s="120" t="s">
        <v>1109</v>
      </c>
      <c r="D405" s="120" t="s">
        <v>1589</v>
      </c>
      <c r="E405" s="101" t="s">
        <v>1111</v>
      </c>
      <c r="F405" s="87">
        <v>216.7208</v>
      </c>
      <c r="G405" s="89">
        <v>216.7208</v>
      </c>
      <c r="H405" s="101" t="s">
        <v>428</v>
      </c>
      <c r="I405" s="87" t="s">
        <v>1110</v>
      </c>
      <c r="J405" s="90">
        <v>2542325</v>
      </c>
      <c r="K405" s="89">
        <v>39.177230000000002</v>
      </c>
      <c r="L405" s="101">
        <v>5</v>
      </c>
      <c r="M405" s="101" t="s">
        <v>27</v>
      </c>
      <c r="N405" s="101" t="s">
        <v>21</v>
      </c>
      <c r="O405" s="101">
        <v>2021</v>
      </c>
      <c r="P405" s="168" t="s">
        <v>27</v>
      </c>
      <c r="Q405" s="223" t="s">
        <v>476</v>
      </c>
    </row>
    <row r="406" spans="1:19" ht="19.5" x14ac:dyDescent="0.25">
      <c r="A406" s="101"/>
      <c r="B406" s="507" t="s">
        <v>22</v>
      </c>
      <c r="C406" s="507"/>
      <c r="D406" s="120"/>
      <c r="E406" s="101"/>
      <c r="F406" s="88">
        <v>216.7208</v>
      </c>
      <c r="G406" s="92">
        <v>216.7208</v>
      </c>
      <c r="H406" s="101"/>
      <c r="I406" s="101"/>
      <c r="J406" s="90"/>
      <c r="K406" s="92">
        <f>K405</f>
        <v>39.177230000000002</v>
      </c>
      <c r="L406" s="101"/>
      <c r="M406" s="101"/>
      <c r="N406" s="101"/>
      <c r="O406" s="101"/>
      <c r="P406" s="168"/>
    </row>
    <row r="407" spans="1:19" ht="78.599999999999994" customHeight="1" x14ac:dyDescent="0.25">
      <c r="A407" s="101">
        <v>160</v>
      </c>
      <c r="B407" s="120" t="s">
        <v>1175</v>
      </c>
      <c r="C407" s="120" t="s">
        <v>1564</v>
      </c>
      <c r="D407" s="120" t="s">
        <v>1176</v>
      </c>
      <c r="E407" s="107" t="s">
        <v>1175</v>
      </c>
      <c r="F407" s="87">
        <v>28.38</v>
      </c>
      <c r="G407" s="89">
        <v>28.38</v>
      </c>
      <c r="H407" s="87" t="s">
        <v>1112</v>
      </c>
      <c r="I407" s="87" t="s">
        <v>133</v>
      </c>
      <c r="J407" s="90">
        <v>314</v>
      </c>
      <c r="K407" s="89">
        <v>4.8440000000000003</v>
      </c>
      <c r="L407" s="101">
        <v>5.8</v>
      </c>
      <c r="M407" s="101" t="s">
        <v>1113</v>
      </c>
      <c r="N407" s="101" t="s">
        <v>21</v>
      </c>
      <c r="O407" s="101">
        <v>2021</v>
      </c>
      <c r="P407" s="168" t="s">
        <v>1113</v>
      </c>
      <c r="Q407" s="223" t="s">
        <v>1125</v>
      </c>
    </row>
    <row r="408" spans="1:19" ht="19.5" x14ac:dyDescent="0.25">
      <c r="A408" s="101"/>
      <c r="B408" s="507" t="s">
        <v>22</v>
      </c>
      <c r="C408" s="507"/>
      <c r="D408" s="120"/>
      <c r="E408" s="101"/>
      <c r="F408" s="88">
        <v>28.38</v>
      </c>
      <c r="G408" s="92">
        <v>28.38</v>
      </c>
      <c r="H408" s="87"/>
      <c r="I408" s="87"/>
      <c r="J408" s="87"/>
      <c r="K408" s="92">
        <f>K407</f>
        <v>4.8440000000000003</v>
      </c>
      <c r="L408" s="101"/>
      <c r="M408" s="101"/>
      <c r="N408" s="101"/>
      <c r="O408" s="101"/>
      <c r="P408" s="168"/>
    </row>
    <row r="409" spans="1:19" ht="48" customHeight="1" x14ac:dyDescent="0.25">
      <c r="A409" s="101">
        <v>161</v>
      </c>
      <c r="B409" s="117" t="s">
        <v>1177</v>
      </c>
      <c r="C409" s="120" t="s">
        <v>1588</v>
      </c>
      <c r="D409" s="120" t="s">
        <v>1380</v>
      </c>
      <c r="E409" s="101" t="s">
        <v>1117</v>
      </c>
      <c r="F409" s="89">
        <v>163.26249999999999</v>
      </c>
      <c r="G409" s="89">
        <v>163.26249999999999</v>
      </c>
      <c r="H409" s="101" t="s">
        <v>524</v>
      </c>
      <c r="I409" s="87" t="s">
        <v>1110</v>
      </c>
      <c r="J409" s="90">
        <v>1417295</v>
      </c>
      <c r="K409" s="89">
        <v>12.07535</v>
      </c>
      <c r="L409" s="101">
        <v>13.5</v>
      </c>
      <c r="M409" s="101" t="s">
        <v>492</v>
      </c>
      <c r="N409" s="101" t="s">
        <v>21</v>
      </c>
      <c r="O409" s="101">
        <v>2021</v>
      </c>
      <c r="P409" s="168" t="s">
        <v>492</v>
      </c>
      <c r="Q409" s="223" t="s">
        <v>1124</v>
      </c>
    </row>
    <row r="410" spans="1:19" ht="19.5" x14ac:dyDescent="0.25">
      <c r="A410" s="101"/>
      <c r="B410" s="507" t="s">
        <v>22</v>
      </c>
      <c r="C410" s="507"/>
      <c r="D410" s="120"/>
      <c r="E410" s="101"/>
      <c r="F410" s="92">
        <v>163.26249999999999</v>
      </c>
      <c r="G410" s="92">
        <v>163.26249999999999</v>
      </c>
      <c r="H410" s="101"/>
      <c r="I410" s="101"/>
      <c r="J410" s="87"/>
      <c r="K410" s="92">
        <f>K409</f>
        <v>12.07535</v>
      </c>
      <c r="L410" s="101"/>
      <c r="M410" s="101"/>
      <c r="N410" s="101"/>
      <c r="O410" s="101"/>
      <c r="P410" s="168"/>
    </row>
    <row r="411" spans="1:19" ht="51.6" customHeight="1" x14ac:dyDescent="0.25">
      <c r="A411" s="101">
        <v>162</v>
      </c>
      <c r="B411" s="120" t="s">
        <v>1178</v>
      </c>
      <c r="C411" s="120" t="s">
        <v>1587</v>
      </c>
      <c r="D411" s="120" t="s">
        <v>1381</v>
      </c>
      <c r="E411" s="101" t="s">
        <v>1117</v>
      </c>
      <c r="F411" s="89">
        <v>5.7350000000000003</v>
      </c>
      <c r="G411" s="89">
        <v>5.7350000000000003</v>
      </c>
      <c r="H411" s="101" t="s">
        <v>524</v>
      </c>
      <c r="I411" s="87" t="s">
        <v>1110</v>
      </c>
      <c r="J411" s="90">
        <v>58499</v>
      </c>
      <c r="K411" s="89">
        <v>0.84519999999999995</v>
      </c>
      <c r="L411" s="101">
        <v>6.7</v>
      </c>
      <c r="M411" s="101" t="s">
        <v>43</v>
      </c>
      <c r="N411" s="101" t="s">
        <v>21</v>
      </c>
      <c r="O411" s="101">
        <v>2021</v>
      </c>
      <c r="P411" s="168" t="s">
        <v>43</v>
      </c>
      <c r="Q411" s="223" t="s">
        <v>1124</v>
      </c>
    </row>
    <row r="412" spans="1:19" ht="19.5" x14ac:dyDescent="0.25">
      <c r="A412" s="101"/>
      <c r="B412" s="507" t="s">
        <v>22</v>
      </c>
      <c r="C412" s="507"/>
      <c r="D412" s="117"/>
      <c r="E412" s="101"/>
      <c r="F412" s="92">
        <v>5.7350000000000003</v>
      </c>
      <c r="G412" s="92">
        <v>5.7350000000000003</v>
      </c>
      <c r="H412" s="101"/>
      <c r="I412" s="101"/>
      <c r="J412" s="101"/>
      <c r="K412" s="92">
        <f>K411</f>
        <v>0.84519999999999995</v>
      </c>
      <c r="L412" s="101"/>
      <c r="M412" s="101"/>
      <c r="N412" s="101"/>
      <c r="O412" s="101"/>
      <c r="P412" s="168"/>
    </row>
    <row r="413" spans="1:19" ht="77.099999999999994" customHeight="1" x14ac:dyDescent="0.25">
      <c r="A413" s="101">
        <v>163</v>
      </c>
      <c r="B413" s="120" t="s">
        <v>1120</v>
      </c>
      <c r="C413" s="120" t="s">
        <v>1562</v>
      </c>
      <c r="D413" s="120" t="s">
        <v>1563</v>
      </c>
      <c r="E413" s="101" t="s">
        <v>1122</v>
      </c>
      <c r="F413" s="89">
        <v>66.322500000000005</v>
      </c>
      <c r="G413" s="89">
        <v>66.322500000000005</v>
      </c>
      <c r="H413" s="101" t="s">
        <v>524</v>
      </c>
      <c r="I413" s="87" t="s">
        <v>1110</v>
      </c>
      <c r="J413" s="93">
        <v>863627</v>
      </c>
      <c r="K413" s="89">
        <v>12.27214</v>
      </c>
      <c r="L413" s="101">
        <v>5.4</v>
      </c>
      <c r="M413" s="101" t="s">
        <v>517</v>
      </c>
      <c r="N413" s="101" t="s">
        <v>21</v>
      </c>
      <c r="O413" s="101">
        <v>2021</v>
      </c>
      <c r="P413" s="168" t="s">
        <v>517</v>
      </c>
      <c r="Q413" s="223" t="s">
        <v>1124</v>
      </c>
    </row>
    <row r="414" spans="1:19" ht="24" customHeight="1" x14ac:dyDescent="0.25">
      <c r="A414" s="101"/>
      <c r="B414" s="507" t="s">
        <v>22</v>
      </c>
      <c r="C414" s="507"/>
      <c r="D414" s="117"/>
      <c r="E414" s="101"/>
      <c r="F414" s="92">
        <v>66.322500000000005</v>
      </c>
      <c r="G414" s="92">
        <v>66.322500000000005</v>
      </c>
      <c r="H414" s="101"/>
      <c r="I414" s="101"/>
      <c r="J414" s="101"/>
      <c r="K414" s="92">
        <f>K413</f>
        <v>12.27214</v>
      </c>
      <c r="L414" s="101"/>
      <c r="M414" s="101"/>
      <c r="N414" s="101"/>
      <c r="O414" s="101"/>
      <c r="P414" s="168"/>
    </row>
    <row r="415" spans="1:19" ht="83.65" customHeight="1" x14ac:dyDescent="0.25">
      <c r="A415" s="101">
        <v>164</v>
      </c>
      <c r="B415" s="120" t="s">
        <v>1126</v>
      </c>
      <c r="C415" s="120" t="s">
        <v>1565</v>
      </c>
      <c r="D415" s="120" t="s">
        <v>1566</v>
      </c>
      <c r="E415" s="101" t="s">
        <v>1129</v>
      </c>
      <c r="F415" s="102">
        <v>80.706249999999997</v>
      </c>
      <c r="G415" s="89">
        <v>80.706249999999997</v>
      </c>
      <c r="H415" s="101" t="s">
        <v>524</v>
      </c>
      <c r="I415" s="87" t="s">
        <v>1110</v>
      </c>
      <c r="J415" s="90">
        <v>678700</v>
      </c>
      <c r="K415" s="89">
        <v>10.0787</v>
      </c>
      <c r="L415" s="101">
        <v>8</v>
      </c>
      <c r="M415" s="101" t="s">
        <v>471</v>
      </c>
      <c r="N415" s="101" t="s">
        <v>21</v>
      </c>
      <c r="O415" s="101">
        <v>2021</v>
      </c>
      <c r="P415" s="168" t="s">
        <v>471</v>
      </c>
      <c r="Q415" s="223" t="s">
        <v>483</v>
      </c>
    </row>
    <row r="416" spans="1:19" ht="26.25" customHeight="1" x14ac:dyDescent="0.25">
      <c r="A416" s="101"/>
      <c r="B416" s="507" t="s">
        <v>22</v>
      </c>
      <c r="C416" s="507"/>
      <c r="D416" s="507"/>
      <c r="E416" s="507"/>
      <c r="F416" s="37">
        <v>80.706249999999997</v>
      </c>
      <c r="G416" s="92">
        <v>80.706249999999997</v>
      </c>
      <c r="H416" s="101"/>
      <c r="I416" s="101"/>
      <c r="J416" s="101"/>
      <c r="K416" s="92">
        <f>K415</f>
        <v>10.0787</v>
      </c>
      <c r="L416" s="101"/>
      <c r="M416" s="101"/>
      <c r="N416" s="101"/>
      <c r="O416" s="101"/>
      <c r="P416" s="168"/>
    </row>
    <row r="417" spans="1:19" ht="66" customHeight="1" x14ac:dyDescent="0.25">
      <c r="A417" s="101">
        <v>165</v>
      </c>
      <c r="B417" s="120" t="s">
        <v>1130</v>
      </c>
      <c r="C417" s="120" t="s">
        <v>1567</v>
      </c>
      <c r="D417" s="120" t="s">
        <v>1568</v>
      </c>
      <c r="E417" s="101" t="s">
        <v>1122</v>
      </c>
      <c r="F417" s="102">
        <v>67.247500000000002</v>
      </c>
      <c r="G417" s="89">
        <v>67.247500000000002</v>
      </c>
      <c r="H417" s="101" t="s">
        <v>524</v>
      </c>
      <c r="I417" s="87" t="s">
        <v>1110</v>
      </c>
      <c r="J417" s="90">
        <v>685942</v>
      </c>
      <c r="K417" s="89">
        <v>12.628209999999999</v>
      </c>
      <c r="L417" s="101">
        <v>5.3</v>
      </c>
      <c r="M417" s="101" t="s">
        <v>492</v>
      </c>
      <c r="N417" s="101" t="s">
        <v>21</v>
      </c>
      <c r="O417" s="101">
        <v>2021</v>
      </c>
      <c r="P417" s="168" t="s">
        <v>492</v>
      </c>
      <c r="Q417" s="223" t="s">
        <v>1123</v>
      </c>
    </row>
    <row r="418" spans="1:19" ht="15.75" customHeight="1" x14ac:dyDescent="0.25">
      <c r="A418" s="101"/>
      <c r="B418" s="507" t="s">
        <v>22</v>
      </c>
      <c r="C418" s="507"/>
      <c r="D418" s="507"/>
      <c r="E418" s="507"/>
      <c r="F418" s="37">
        <v>67.247500000000002</v>
      </c>
      <c r="G418" s="92">
        <v>67.247500000000002</v>
      </c>
      <c r="H418" s="101"/>
      <c r="I418" s="101"/>
      <c r="J418" s="101"/>
      <c r="K418" s="92">
        <f>K417</f>
        <v>12.628209999999999</v>
      </c>
      <c r="L418" s="101"/>
      <c r="M418" s="101"/>
      <c r="N418" s="101"/>
      <c r="O418" s="101"/>
      <c r="P418" s="168"/>
    </row>
    <row r="419" spans="1:19" ht="37.5" x14ac:dyDescent="0.25">
      <c r="A419" s="427">
        <v>166</v>
      </c>
      <c r="B419" s="444" t="s">
        <v>1141</v>
      </c>
      <c r="C419" s="439" t="s">
        <v>1142</v>
      </c>
      <c r="D419" s="120" t="s">
        <v>1133</v>
      </c>
      <c r="E419" s="443" t="s">
        <v>1141</v>
      </c>
      <c r="F419" s="305">
        <f>15478/1000</f>
        <v>15.478</v>
      </c>
      <c r="G419" s="316">
        <f>15478/1000</f>
        <v>15.478</v>
      </c>
      <c r="H419" s="427" t="s">
        <v>1112</v>
      </c>
      <c r="I419" s="87" t="s">
        <v>456</v>
      </c>
      <c r="J419" s="377">
        <v>149.18</v>
      </c>
      <c r="K419" s="316">
        <v>2.6560000000000001</v>
      </c>
      <c r="L419" s="305">
        <v>5.8</v>
      </c>
      <c r="M419" s="443" t="s">
        <v>442</v>
      </c>
      <c r="N419" s="427" t="s">
        <v>21</v>
      </c>
      <c r="O419" s="427">
        <v>2019</v>
      </c>
      <c r="P419" s="536" t="s">
        <v>442</v>
      </c>
      <c r="Q419" s="223" t="s">
        <v>1125</v>
      </c>
    </row>
    <row r="420" spans="1:19" ht="37.5" x14ac:dyDescent="0.25">
      <c r="A420" s="427"/>
      <c r="B420" s="444"/>
      <c r="C420" s="439"/>
      <c r="D420" s="120" t="s">
        <v>1134</v>
      </c>
      <c r="E420" s="443"/>
      <c r="F420" s="305">
        <v>1.548</v>
      </c>
      <c r="G420" s="316">
        <v>1.548</v>
      </c>
      <c r="H420" s="427"/>
      <c r="I420" s="87" t="s">
        <v>456</v>
      </c>
      <c r="J420" s="377">
        <v>21.94</v>
      </c>
      <c r="K420" s="316">
        <v>0.39</v>
      </c>
      <c r="L420" s="378">
        <v>4</v>
      </c>
      <c r="M420" s="443"/>
      <c r="N420" s="427"/>
      <c r="O420" s="427"/>
      <c r="P420" s="536"/>
    </row>
    <row r="421" spans="1:19" ht="37.5" x14ac:dyDescent="0.25">
      <c r="A421" s="427"/>
      <c r="B421" s="444"/>
      <c r="C421" s="439"/>
      <c r="D421" s="120" t="s">
        <v>1135</v>
      </c>
      <c r="E421" s="443"/>
      <c r="F421" s="305">
        <v>7.79725</v>
      </c>
      <c r="G421" s="316">
        <v>7.79725</v>
      </c>
      <c r="H421" s="427"/>
      <c r="I421" s="87" t="s">
        <v>456</v>
      </c>
      <c r="J421" s="305">
        <v>152.4</v>
      </c>
      <c r="K421" s="316">
        <v>2.7</v>
      </c>
      <c r="L421" s="305">
        <v>2.9</v>
      </c>
      <c r="M421" s="443"/>
      <c r="N421" s="427"/>
      <c r="O421" s="427"/>
      <c r="P421" s="536"/>
    </row>
    <row r="422" spans="1:19" ht="37.5" x14ac:dyDescent="0.25">
      <c r="A422" s="427"/>
      <c r="B422" s="444"/>
      <c r="C422" s="439"/>
      <c r="D422" s="120" t="s">
        <v>1136</v>
      </c>
      <c r="E422" s="443"/>
      <c r="F422" s="377">
        <v>13.9338</v>
      </c>
      <c r="G422" s="316">
        <v>13.9338</v>
      </c>
      <c r="H422" s="427"/>
      <c r="I422" s="87" t="s">
        <v>456</v>
      </c>
      <c r="J422" s="377">
        <v>129.38</v>
      </c>
      <c r="K422" s="316">
        <v>2.2999999999999998</v>
      </c>
      <c r="L422" s="378">
        <v>6</v>
      </c>
      <c r="M422" s="443"/>
      <c r="N422" s="427"/>
      <c r="O422" s="427"/>
      <c r="P422" s="536"/>
    </row>
    <row r="423" spans="1:19" ht="37.5" x14ac:dyDescent="0.25">
      <c r="A423" s="427"/>
      <c r="B423" s="444"/>
      <c r="C423" s="439"/>
      <c r="D423" s="120" t="s">
        <v>1137</v>
      </c>
      <c r="E423" s="443"/>
      <c r="F423" s="305">
        <v>13.9338</v>
      </c>
      <c r="G423" s="316">
        <v>13.9338</v>
      </c>
      <c r="H423" s="427"/>
      <c r="I423" s="87" t="s">
        <v>456</v>
      </c>
      <c r="J423" s="377">
        <v>129.38</v>
      </c>
      <c r="K423" s="316">
        <v>2.2999999999999998</v>
      </c>
      <c r="L423" s="378">
        <v>6</v>
      </c>
      <c r="M423" s="443"/>
      <c r="N423" s="427"/>
      <c r="O423" s="427"/>
      <c r="P423" s="536"/>
    </row>
    <row r="424" spans="1:19" ht="37.5" x14ac:dyDescent="0.25">
      <c r="A424" s="427"/>
      <c r="B424" s="444"/>
      <c r="C424" s="439"/>
      <c r="D424" s="120" t="s">
        <v>1138</v>
      </c>
      <c r="E424" s="443"/>
      <c r="F424" s="305">
        <v>30.345500000000001</v>
      </c>
      <c r="G424" s="316">
        <v>30.345500000000001</v>
      </c>
      <c r="H424" s="427"/>
      <c r="I424" s="87" t="s">
        <v>456</v>
      </c>
      <c r="J424" s="377">
        <v>281.27999999999997</v>
      </c>
      <c r="K424" s="316">
        <v>5</v>
      </c>
      <c r="L424" s="378">
        <v>6</v>
      </c>
      <c r="M424" s="443"/>
      <c r="N424" s="427"/>
      <c r="O424" s="427"/>
      <c r="P424" s="536"/>
      <c r="S424" s="223" t="s">
        <v>1280</v>
      </c>
    </row>
    <row r="425" spans="1:19" ht="37.5" x14ac:dyDescent="0.25">
      <c r="A425" s="427"/>
      <c r="B425" s="444"/>
      <c r="C425" s="439"/>
      <c r="D425" s="120" t="s">
        <v>1139</v>
      </c>
      <c r="E425" s="443"/>
      <c r="F425" s="305">
        <v>2.9262999999999999</v>
      </c>
      <c r="G425" s="316">
        <v>2.9262999999999999</v>
      </c>
      <c r="H425" s="427"/>
      <c r="I425" s="87" t="s">
        <v>456</v>
      </c>
      <c r="J425" s="377">
        <v>39.85</v>
      </c>
      <c r="K425" s="316">
        <v>0.70899999999999996</v>
      </c>
      <c r="L425" s="305">
        <v>4.0999999999999996</v>
      </c>
      <c r="M425" s="443"/>
      <c r="N425" s="427"/>
      <c r="O425" s="427"/>
      <c r="P425" s="536"/>
    </row>
    <row r="426" spans="1:19" ht="37.5" x14ac:dyDescent="0.25">
      <c r="A426" s="427"/>
      <c r="B426" s="444"/>
      <c r="C426" s="439"/>
      <c r="D426" s="120" t="s">
        <v>1140</v>
      </c>
      <c r="E426" s="443"/>
      <c r="F426" s="305">
        <v>3.9956</v>
      </c>
      <c r="G426" s="316">
        <v>3.9956</v>
      </c>
      <c r="H426" s="427"/>
      <c r="I426" s="87" t="s">
        <v>456</v>
      </c>
      <c r="J426" s="377">
        <v>68.150000000000006</v>
      </c>
      <c r="K426" s="316">
        <v>1.2130000000000001</v>
      </c>
      <c r="L426" s="305">
        <v>3.3</v>
      </c>
      <c r="M426" s="443"/>
      <c r="N426" s="427"/>
      <c r="O426" s="427"/>
      <c r="P426" s="536"/>
    </row>
    <row r="427" spans="1:19" ht="21.75" customHeight="1" x14ac:dyDescent="0.25">
      <c r="A427" s="101"/>
      <c r="B427" s="507" t="s">
        <v>22</v>
      </c>
      <c r="C427" s="507"/>
      <c r="D427" s="507"/>
      <c r="E427" s="507"/>
      <c r="F427" s="37">
        <v>89.958250000000007</v>
      </c>
      <c r="G427" s="92">
        <v>89.958250000000007</v>
      </c>
      <c r="H427" s="101"/>
      <c r="I427" s="101"/>
      <c r="J427" s="101"/>
      <c r="K427" s="92">
        <f>SUM(K419:K426)</f>
        <v>17.268000000000001</v>
      </c>
      <c r="L427" s="101"/>
      <c r="M427" s="101"/>
      <c r="N427" s="101"/>
      <c r="O427" s="101"/>
      <c r="P427" s="168"/>
    </row>
    <row r="428" spans="1:19" ht="25.35" customHeight="1" x14ac:dyDescent="0.25">
      <c r="A428" s="101">
        <v>167</v>
      </c>
      <c r="B428" s="117" t="s">
        <v>1145</v>
      </c>
      <c r="C428" s="120" t="s">
        <v>1561</v>
      </c>
      <c r="D428" s="120" t="s">
        <v>1146</v>
      </c>
      <c r="E428" s="101" t="s">
        <v>1387</v>
      </c>
      <c r="F428" s="102">
        <v>200</v>
      </c>
      <c r="G428" s="89">
        <v>200</v>
      </c>
      <c r="H428" s="101" t="s">
        <v>428</v>
      </c>
      <c r="I428" s="101" t="s">
        <v>37</v>
      </c>
      <c r="J428" s="101">
        <v>604.03</v>
      </c>
      <c r="K428" s="89">
        <v>6.2270000000000003</v>
      </c>
      <c r="L428" s="101">
        <v>27.1</v>
      </c>
      <c r="M428" s="101" t="s">
        <v>471</v>
      </c>
      <c r="N428" s="101" t="s">
        <v>21</v>
      </c>
      <c r="O428" s="101">
        <v>2021</v>
      </c>
      <c r="P428" s="168" t="s">
        <v>471</v>
      </c>
      <c r="Q428" s="223" t="s">
        <v>476</v>
      </c>
    </row>
    <row r="429" spans="1:19" ht="19.5" x14ac:dyDescent="0.25">
      <c r="A429" s="101"/>
      <c r="B429" s="507" t="s">
        <v>22</v>
      </c>
      <c r="C429" s="507"/>
      <c r="D429" s="507"/>
      <c r="E429" s="507"/>
      <c r="F429" s="37">
        <v>200</v>
      </c>
      <c r="G429" s="92">
        <v>200</v>
      </c>
      <c r="H429" s="101"/>
      <c r="I429" s="101"/>
      <c r="J429" s="101"/>
      <c r="K429" s="92">
        <f>K428</f>
        <v>6.2270000000000003</v>
      </c>
      <c r="L429" s="101"/>
      <c r="M429" s="101"/>
      <c r="N429" s="101"/>
      <c r="O429" s="101"/>
      <c r="P429" s="168"/>
    </row>
    <row r="430" spans="1:19" ht="56.25" x14ac:dyDescent="0.25">
      <c r="A430" s="101">
        <v>168</v>
      </c>
      <c r="B430" s="117" t="s">
        <v>1560</v>
      </c>
      <c r="C430" s="117" t="s">
        <v>1586</v>
      </c>
      <c r="D430" s="117" t="s">
        <v>1428</v>
      </c>
      <c r="E430" s="101" t="s">
        <v>380</v>
      </c>
      <c r="F430" s="102">
        <v>17.467934</v>
      </c>
      <c r="G430" s="89">
        <v>17.467934</v>
      </c>
      <c r="H430" s="101" t="s">
        <v>1046</v>
      </c>
      <c r="I430" s="101" t="s">
        <v>37</v>
      </c>
      <c r="J430" s="101">
        <v>394.53</v>
      </c>
      <c r="K430" s="89">
        <v>4.5570000000000004</v>
      </c>
      <c r="L430" s="101">
        <v>3.8</v>
      </c>
      <c r="M430" s="101" t="s">
        <v>499</v>
      </c>
      <c r="N430" s="101" t="s">
        <v>21</v>
      </c>
      <c r="O430" s="101">
        <v>2021</v>
      </c>
      <c r="P430" s="168" t="s">
        <v>499</v>
      </c>
      <c r="Q430" s="223" t="s">
        <v>476</v>
      </c>
    </row>
    <row r="431" spans="1:19" ht="19.5" x14ac:dyDescent="0.25">
      <c r="A431" s="101"/>
      <c r="B431" s="507" t="s">
        <v>22</v>
      </c>
      <c r="C431" s="507"/>
      <c r="D431" s="507"/>
      <c r="E431" s="507"/>
      <c r="F431" s="37">
        <v>17.467934</v>
      </c>
      <c r="G431" s="92">
        <v>17.467934</v>
      </c>
      <c r="H431" s="101"/>
      <c r="I431" s="101"/>
      <c r="J431" s="101"/>
      <c r="K431" s="92">
        <f>K430</f>
        <v>4.5570000000000004</v>
      </c>
      <c r="L431" s="101"/>
      <c r="M431" s="101"/>
      <c r="N431" s="101"/>
      <c r="O431" s="101"/>
      <c r="P431" s="168"/>
    </row>
    <row r="432" spans="1:19" ht="56.25" x14ac:dyDescent="0.25">
      <c r="A432" s="101">
        <v>169</v>
      </c>
      <c r="B432" s="117" t="s">
        <v>1310</v>
      </c>
      <c r="C432" s="117" t="s">
        <v>1559</v>
      </c>
      <c r="D432" s="117" t="s">
        <v>1428</v>
      </c>
      <c r="E432" s="101" t="s">
        <v>380</v>
      </c>
      <c r="F432" s="102">
        <v>6.07178928</v>
      </c>
      <c r="G432" s="89">
        <v>6.07178928</v>
      </c>
      <c r="H432" s="101" t="s">
        <v>1046</v>
      </c>
      <c r="I432" s="101" t="s">
        <v>37</v>
      </c>
      <c r="J432" s="101">
        <v>514.29</v>
      </c>
      <c r="K432" s="89">
        <v>0.70250000000000001</v>
      </c>
      <c r="L432" s="101">
        <v>3.5</v>
      </c>
      <c r="M432" s="101" t="s">
        <v>446</v>
      </c>
      <c r="N432" s="101" t="s">
        <v>21</v>
      </c>
      <c r="O432" s="101">
        <v>2021</v>
      </c>
      <c r="P432" s="168" t="s">
        <v>446</v>
      </c>
      <c r="Q432" s="223" t="s">
        <v>476</v>
      </c>
    </row>
    <row r="433" spans="1:19" ht="19.5" x14ac:dyDescent="0.25">
      <c r="A433" s="101"/>
      <c r="B433" s="507" t="s">
        <v>22</v>
      </c>
      <c r="C433" s="507"/>
      <c r="D433" s="507"/>
      <c r="E433" s="507"/>
      <c r="F433" s="37">
        <v>6.07178928</v>
      </c>
      <c r="G433" s="92">
        <v>6.07178928</v>
      </c>
      <c r="H433" s="101"/>
      <c r="I433" s="101"/>
      <c r="J433" s="101"/>
      <c r="K433" s="92">
        <f>K432</f>
        <v>0.70250000000000001</v>
      </c>
      <c r="L433" s="101"/>
      <c r="M433" s="101"/>
      <c r="N433" s="101"/>
      <c r="O433" s="101"/>
      <c r="P433" s="168"/>
    </row>
    <row r="434" spans="1:19" ht="48" customHeight="1" x14ac:dyDescent="0.25">
      <c r="A434" s="101">
        <v>170</v>
      </c>
      <c r="B434" s="117" t="s">
        <v>1150</v>
      </c>
      <c r="C434" s="120" t="s">
        <v>1558</v>
      </c>
      <c r="D434" s="117" t="s">
        <v>1152</v>
      </c>
      <c r="E434" s="101" t="s">
        <v>1150</v>
      </c>
      <c r="F434" s="102">
        <v>5.88</v>
      </c>
      <c r="G434" s="89">
        <v>5.88</v>
      </c>
      <c r="H434" s="101" t="s">
        <v>1112</v>
      </c>
      <c r="I434" s="87" t="s">
        <v>1110</v>
      </c>
      <c r="J434" s="101">
        <v>76300</v>
      </c>
      <c r="K434" s="89">
        <v>1.859</v>
      </c>
      <c r="L434" s="101">
        <v>3.1</v>
      </c>
      <c r="M434" s="101" t="s">
        <v>1149</v>
      </c>
      <c r="N434" s="101" t="s">
        <v>21</v>
      </c>
      <c r="O434" s="101">
        <v>2021</v>
      </c>
      <c r="P434" s="168" t="s">
        <v>1149</v>
      </c>
      <c r="Q434" s="223" t="s">
        <v>1125</v>
      </c>
    </row>
    <row r="435" spans="1:19" ht="19.5" x14ac:dyDescent="0.25">
      <c r="A435" s="101"/>
      <c r="B435" s="507" t="s">
        <v>22</v>
      </c>
      <c r="C435" s="507"/>
      <c r="D435" s="507"/>
      <c r="E435" s="507"/>
      <c r="F435" s="37">
        <v>5.88</v>
      </c>
      <c r="G435" s="92">
        <v>5.88</v>
      </c>
      <c r="H435" s="101"/>
      <c r="I435" s="101"/>
      <c r="J435" s="101"/>
      <c r="K435" s="92">
        <f>K434</f>
        <v>1.859</v>
      </c>
      <c r="L435" s="101"/>
      <c r="M435" s="101"/>
      <c r="N435" s="101"/>
      <c r="O435" s="101"/>
      <c r="P435" s="168"/>
    </row>
    <row r="436" spans="1:19" ht="50.25" customHeight="1" x14ac:dyDescent="0.25">
      <c r="A436" s="427">
        <v>171</v>
      </c>
      <c r="B436" s="439" t="s">
        <v>1158</v>
      </c>
      <c r="C436" s="439" t="s">
        <v>1154</v>
      </c>
      <c r="D436" s="120" t="s">
        <v>1557</v>
      </c>
      <c r="E436" s="427" t="s">
        <v>1158</v>
      </c>
      <c r="F436" s="102">
        <v>83.048000000000002</v>
      </c>
      <c r="G436" s="89">
        <v>83.048000000000002</v>
      </c>
      <c r="H436" s="427" t="s">
        <v>1112</v>
      </c>
      <c r="I436" s="87" t="s">
        <v>1110</v>
      </c>
      <c r="J436" s="89">
        <v>2041.934</v>
      </c>
      <c r="K436" s="89">
        <v>38.85801</v>
      </c>
      <c r="L436" s="101">
        <v>2.2000000000000002</v>
      </c>
      <c r="M436" s="427" t="s">
        <v>517</v>
      </c>
      <c r="N436" s="427" t="s">
        <v>21</v>
      </c>
      <c r="O436" s="427">
        <v>2021</v>
      </c>
      <c r="P436" s="535" t="s">
        <v>517</v>
      </c>
    </row>
    <row r="437" spans="1:19" x14ac:dyDescent="0.25">
      <c r="A437" s="427"/>
      <c r="B437" s="439"/>
      <c r="C437" s="439"/>
      <c r="D437" s="120" t="s">
        <v>1431</v>
      </c>
      <c r="E437" s="427"/>
      <c r="F437" s="102">
        <v>14.669</v>
      </c>
      <c r="G437" s="89">
        <v>14.669</v>
      </c>
      <c r="H437" s="427"/>
      <c r="I437" s="87" t="s">
        <v>1110</v>
      </c>
      <c r="J437" s="89">
        <v>3990.8159999999998</v>
      </c>
      <c r="K437" s="89">
        <v>75.945229999999995</v>
      </c>
      <c r="L437" s="101">
        <v>0.2</v>
      </c>
      <c r="M437" s="427"/>
      <c r="N437" s="427"/>
      <c r="O437" s="427"/>
      <c r="P437" s="535"/>
      <c r="Q437" s="223" t="s">
        <v>1162</v>
      </c>
    </row>
    <row r="438" spans="1:19" ht="56.25" x14ac:dyDescent="0.25">
      <c r="A438" s="427"/>
      <c r="B438" s="439"/>
      <c r="C438" s="439"/>
      <c r="D438" s="120" t="s">
        <v>1556</v>
      </c>
      <c r="E438" s="427"/>
      <c r="F438" s="102">
        <v>586.39200000000005</v>
      </c>
      <c r="G438" s="89">
        <v>586.39200000000005</v>
      </c>
      <c r="H438" s="427"/>
      <c r="I438" s="87" t="s">
        <v>1110</v>
      </c>
      <c r="J438" s="89">
        <v>1927</v>
      </c>
      <c r="K438" s="89">
        <v>36.6708</v>
      </c>
      <c r="L438" s="101">
        <v>16</v>
      </c>
      <c r="M438" s="427"/>
      <c r="N438" s="427"/>
      <c r="O438" s="427"/>
      <c r="P438" s="535"/>
      <c r="S438" s="223" t="s">
        <v>1750</v>
      </c>
    </row>
    <row r="439" spans="1:19" ht="19.5" x14ac:dyDescent="0.25">
      <c r="A439" s="101"/>
      <c r="B439" s="507" t="s">
        <v>1280</v>
      </c>
      <c r="C439" s="507"/>
      <c r="D439" s="507"/>
      <c r="E439" s="507"/>
      <c r="F439" s="37">
        <f>F436+F437+F438</f>
        <v>684.10900000000004</v>
      </c>
      <c r="G439" s="92">
        <f>G436+G437+G438</f>
        <v>684.10900000000004</v>
      </c>
      <c r="H439" s="101"/>
      <c r="I439" s="101"/>
      <c r="J439" s="101"/>
      <c r="K439" s="92">
        <f>SUM(K436:K438)</f>
        <v>151.47404</v>
      </c>
      <c r="L439" s="101"/>
      <c r="M439" s="101"/>
      <c r="N439" s="101"/>
      <c r="O439" s="101"/>
      <c r="P439" s="168"/>
    </row>
    <row r="440" spans="1:19" ht="31.5" customHeight="1" x14ac:dyDescent="0.25">
      <c r="A440" s="427">
        <v>172</v>
      </c>
      <c r="B440" s="439" t="s">
        <v>1163</v>
      </c>
      <c r="C440" s="444" t="s">
        <v>1584</v>
      </c>
      <c r="D440" s="439" t="s">
        <v>1164</v>
      </c>
      <c r="E440" s="427" t="s">
        <v>1308</v>
      </c>
      <c r="F440" s="102">
        <v>10.222</v>
      </c>
      <c r="G440" s="89">
        <v>10.222</v>
      </c>
      <c r="H440" s="427" t="s">
        <v>428</v>
      </c>
      <c r="I440" s="87" t="s">
        <v>1110</v>
      </c>
      <c r="J440" s="90">
        <v>15138</v>
      </c>
      <c r="K440" s="89">
        <v>0.33729999999999999</v>
      </c>
      <c r="L440" s="427">
        <v>41.2</v>
      </c>
      <c r="M440" s="427" t="s">
        <v>454</v>
      </c>
      <c r="N440" s="427" t="s">
        <v>21</v>
      </c>
      <c r="O440" s="427">
        <v>2021</v>
      </c>
      <c r="P440" s="535" t="s">
        <v>454</v>
      </c>
      <c r="Q440" s="223" t="s">
        <v>476</v>
      </c>
    </row>
    <row r="441" spans="1:19" x14ac:dyDescent="0.25">
      <c r="A441" s="427"/>
      <c r="B441" s="439"/>
      <c r="C441" s="444"/>
      <c r="D441" s="439"/>
      <c r="E441" s="427"/>
      <c r="F441" s="102">
        <v>19.777999999999999</v>
      </c>
      <c r="G441" s="89">
        <v>19.777999999999999</v>
      </c>
      <c r="H441" s="427"/>
      <c r="I441" s="101" t="s">
        <v>37</v>
      </c>
      <c r="J441" s="101">
        <v>16.68</v>
      </c>
      <c r="K441" s="89">
        <v>0.3911</v>
      </c>
      <c r="L441" s="427"/>
      <c r="M441" s="427"/>
      <c r="N441" s="427"/>
      <c r="O441" s="427"/>
      <c r="P441" s="535"/>
    </row>
    <row r="442" spans="1:19" ht="18.75" customHeight="1" x14ac:dyDescent="0.25">
      <c r="A442" s="101"/>
      <c r="B442" s="507" t="s">
        <v>22</v>
      </c>
      <c r="C442" s="507"/>
      <c r="D442" s="507"/>
      <c r="E442" s="507"/>
      <c r="F442" s="37">
        <v>30</v>
      </c>
      <c r="G442" s="92">
        <v>30</v>
      </c>
      <c r="H442" s="101"/>
      <c r="I442" s="101"/>
      <c r="J442" s="101"/>
      <c r="K442" s="92">
        <f>K440+K441</f>
        <v>0.72839999999999994</v>
      </c>
      <c r="L442" s="101"/>
      <c r="M442" s="101"/>
      <c r="N442" s="101"/>
      <c r="O442" s="101"/>
      <c r="P442" s="168"/>
    </row>
    <row r="443" spans="1:19" ht="29.25" customHeight="1" x14ac:dyDescent="0.25">
      <c r="A443" s="427">
        <v>173</v>
      </c>
      <c r="B443" s="439" t="s">
        <v>1163</v>
      </c>
      <c r="C443" s="444" t="s">
        <v>1585</v>
      </c>
      <c r="D443" s="439" t="s">
        <v>1164</v>
      </c>
      <c r="E443" s="427" t="s">
        <v>1309</v>
      </c>
      <c r="F443" s="102">
        <v>3.3</v>
      </c>
      <c r="G443" s="89">
        <v>3.3</v>
      </c>
      <c r="H443" s="427" t="s">
        <v>428</v>
      </c>
      <c r="I443" s="87" t="s">
        <v>1110</v>
      </c>
      <c r="J443" s="90">
        <v>2469</v>
      </c>
      <c r="K443" s="89">
        <v>0.55000000000000004</v>
      </c>
      <c r="L443" s="427">
        <v>58</v>
      </c>
      <c r="M443" s="427" t="s">
        <v>454</v>
      </c>
      <c r="N443" s="427" t="s">
        <v>21</v>
      </c>
      <c r="O443" s="427">
        <v>2021</v>
      </c>
      <c r="P443" s="535" t="s">
        <v>454</v>
      </c>
      <c r="Q443" s="223" t="s">
        <v>476</v>
      </c>
    </row>
    <row r="444" spans="1:19" x14ac:dyDescent="0.25">
      <c r="A444" s="427"/>
      <c r="B444" s="439"/>
      <c r="C444" s="444"/>
      <c r="D444" s="439"/>
      <c r="E444" s="427"/>
      <c r="F444" s="102">
        <v>14.7</v>
      </c>
      <c r="G444" s="89">
        <v>14.7</v>
      </c>
      <c r="H444" s="427"/>
      <c r="I444" s="101" t="s">
        <v>37</v>
      </c>
      <c r="J444" s="101" t="s">
        <v>1382</v>
      </c>
      <c r="K444" s="89">
        <v>0.255</v>
      </c>
      <c r="L444" s="427"/>
      <c r="M444" s="427"/>
      <c r="N444" s="427"/>
      <c r="O444" s="427"/>
      <c r="P444" s="535"/>
    </row>
    <row r="445" spans="1:19" ht="19.5" x14ac:dyDescent="0.25">
      <c r="A445" s="101"/>
      <c r="B445" s="507" t="s">
        <v>22</v>
      </c>
      <c r="C445" s="507"/>
      <c r="D445" s="507"/>
      <c r="E445" s="507"/>
      <c r="F445" s="37">
        <f>18000/1000</f>
        <v>18</v>
      </c>
      <c r="G445" s="92">
        <f>18000/1000</f>
        <v>18</v>
      </c>
      <c r="H445" s="101"/>
      <c r="I445" s="101"/>
      <c r="J445" s="101"/>
      <c r="K445" s="92">
        <f>K443+K444</f>
        <v>0.80500000000000005</v>
      </c>
      <c r="L445" s="101"/>
      <c r="M445" s="101"/>
      <c r="N445" s="101"/>
      <c r="O445" s="101"/>
      <c r="P445" s="168"/>
    </row>
    <row r="446" spans="1:19" ht="111.6" customHeight="1" x14ac:dyDescent="0.25">
      <c r="A446" s="101">
        <v>174</v>
      </c>
      <c r="B446" s="117" t="s">
        <v>1184</v>
      </c>
      <c r="C446" s="120" t="s">
        <v>1554</v>
      </c>
      <c r="D446" s="117" t="s">
        <v>1555</v>
      </c>
      <c r="E446" s="101" t="s">
        <v>447</v>
      </c>
      <c r="F446" s="102">
        <f>5310000/1000</f>
        <v>5310</v>
      </c>
      <c r="G446" s="89">
        <f>5310000/1000</f>
        <v>5310</v>
      </c>
      <c r="H446" s="101" t="s">
        <v>1427</v>
      </c>
      <c r="I446" s="87" t="s">
        <v>1110</v>
      </c>
      <c r="J446" s="90">
        <v>2498344</v>
      </c>
      <c r="K446" s="89">
        <f>36196/1000</f>
        <v>36.195999999999998</v>
      </c>
      <c r="L446" s="101">
        <v>10</v>
      </c>
      <c r="M446" s="101" t="s">
        <v>43</v>
      </c>
      <c r="N446" s="101" t="s">
        <v>21</v>
      </c>
      <c r="O446" s="101">
        <v>2020</v>
      </c>
      <c r="P446" s="168" t="s">
        <v>43</v>
      </c>
      <c r="Q446" s="223" t="s">
        <v>475</v>
      </c>
    </row>
    <row r="447" spans="1:19" ht="19.5" x14ac:dyDescent="0.25">
      <c r="A447" s="101"/>
      <c r="B447" s="507" t="s">
        <v>22</v>
      </c>
      <c r="C447" s="507"/>
      <c r="D447" s="507"/>
      <c r="E447" s="507"/>
      <c r="F447" s="37">
        <f>F446</f>
        <v>5310</v>
      </c>
      <c r="G447" s="92">
        <f>G446</f>
        <v>5310</v>
      </c>
      <c r="H447" s="101"/>
      <c r="I447" s="101"/>
      <c r="J447" s="101"/>
      <c r="K447" s="92">
        <f>K446</f>
        <v>36.195999999999998</v>
      </c>
      <c r="L447" s="101"/>
      <c r="M447" s="101"/>
      <c r="N447" s="101"/>
      <c r="O447" s="101"/>
      <c r="P447" s="168"/>
    </row>
    <row r="448" spans="1:19" ht="54" customHeight="1" x14ac:dyDescent="0.25">
      <c r="A448" s="101">
        <v>175</v>
      </c>
      <c r="B448" s="117" t="s">
        <v>1204</v>
      </c>
      <c r="C448" s="117" t="s">
        <v>1553</v>
      </c>
      <c r="D448" s="117" t="s">
        <v>1553</v>
      </c>
      <c r="E448" s="101" t="s">
        <v>1204</v>
      </c>
      <c r="F448" s="102">
        <v>33.75</v>
      </c>
      <c r="G448" s="89">
        <v>33.75</v>
      </c>
      <c r="H448" s="101" t="s">
        <v>1112</v>
      </c>
      <c r="I448" s="87" t="s">
        <v>456</v>
      </c>
      <c r="J448" s="90">
        <v>766500</v>
      </c>
      <c r="K448" s="89">
        <v>18.396000000000001</v>
      </c>
      <c r="L448" s="101">
        <v>1.8</v>
      </c>
      <c r="M448" s="101" t="s">
        <v>27</v>
      </c>
      <c r="N448" s="101" t="s">
        <v>21</v>
      </c>
      <c r="O448" s="101">
        <v>2021</v>
      </c>
      <c r="P448" s="168" t="s">
        <v>27</v>
      </c>
      <c r="Q448" s="223" t="s">
        <v>1162</v>
      </c>
    </row>
    <row r="449" spans="1:17" ht="19.5" x14ac:dyDescent="0.25">
      <c r="A449" s="101"/>
      <c r="B449" s="507" t="s">
        <v>22</v>
      </c>
      <c r="C449" s="507"/>
      <c r="D449" s="507"/>
      <c r="E449" s="507"/>
      <c r="F449" s="37">
        <v>33.75</v>
      </c>
      <c r="G449" s="92">
        <v>33.75</v>
      </c>
      <c r="H449" s="101"/>
      <c r="I449" s="101"/>
      <c r="J449" s="101"/>
      <c r="K449" s="92">
        <f>K448</f>
        <v>18.396000000000001</v>
      </c>
      <c r="L449" s="101"/>
      <c r="M449" s="101"/>
      <c r="N449" s="101"/>
      <c r="O449" s="128"/>
      <c r="P449" s="168"/>
    </row>
    <row r="450" spans="1:17" ht="45" customHeight="1" x14ac:dyDescent="0.25">
      <c r="A450" s="101">
        <v>176</v>
      </c>
      <c r="B450" s="117" t="s">
        <v>1205</v>
      </c>
      <c r="C450" s="117" t="s">
        <v>1551</v>
      </c>
      <c r="D450" s="117" t="s">
        <v>1551</v>
      </c>
      <c r="E450" s="101" t="s">
        <v>1205</v>
      </c>
      <c r="F450" s="102">
        <v>62.25</v>
      </c>
      <c r="G450" s="89">
        <v>62.25</v>
      </c>
      <c r="H450" s="101" t="s">
        <v>1112</v>
      </c>
      <c r="I450" s="87" t="s">
        <v>456</v>
      </c>
      <c r="J450" s="90">
        <v>893520</v>
      </c>
      <c r="K450" s="89">
        <f>21444.48/1000</f>
        <v>21.444479999999999</v>
      </c>
      <c r="L450" s="101">
        <v>2.9</v>
      </c>
      <c r="M450" s="101" t="s">
        <v>1113</v>
      </c>
      <c r="N450" s="101" t="s">
        <v>21</v>
      </c>
      <c r="O450" s="101">
        <v>2021</v>
      </c>
      <c r="P450" s="168" t="s">
        <v>1113</v>
      </c>
      <c r="Q450" s="223" t="s">
        <v>1162</v>
      </c>
    </row>
    <row r="451" spans="1:17" ht="19.5" x14ac:dyDescent="0.25">
      <c r="A451" s="101"/>
      <c r="B451" s="507" t="s">
        <v>22</v>
      </c>
      <c r="C451" s="507"/>
      <c r="D451" s="507"/>
      <c r="E451" s="507"/>
      <c r="F451" s="37">
        <v>62.25</v>
      </c>
      <c r="G451" s="92">
        <v>62.25</v>
      </c>
      <c r="H451" s="101"/>
      <c r="I451" s="101"/>
      <c r="J451" s="101"/>
      <c r="K451" s="92">
        <f>K450</f>
        <v>21.444479999999999</v>
      </c>
      <c r="L451" s="101"/>
      <c r="M451" s="101"/>
      <c r="N451" s="101"/>
      <c r="O451" s="128"/>
      <c r="P451" s="168"/>
    </row>
    <row r="452" spans="1:17" ht="62.25" customHeight="1" x14ac:dyDescent="0.25">
      <c r="A452" s="101">
        <v>177</v>
      </c>
      <c r="B452" s="117" t="s">
        <v>1205</v>
      </c>
      <c r="C452" s="117" t="s">
        <v>1551</v>
      </c>
      <c r="D452" s="117" t="s">
        <v>1552</v>
      </c>
      <c r="E452" s="101" t="s">
        <v>1205</v>
      </c>
      <c r="F452" s="102">
        <v>72.625</v>
      </c>
      <c r="G452" s="89">
        <v>72.625</v>
      </c>
      <c r="H452" s="101" t="s">
        <v>1112</v>
      </c>
      <c r="I452" s="87" t="s">
        <v>456</v>
      </c>
      <c r="J452" s="90">
        <v>1042440</v>
      </c>
      <c r="K452" s="89">
        <v>25.018999999999998</v>
      </c>
      <c r="L452" s="101">
        <v>2.9</v>
      </c>
      <c r="M452" s="101" t="s">
        <v>1113</v>
      </c>
      <c r="N452" s="101" t="s">
        <v>21</v>
      </c>
      <c r="O452" s="101">
        <v>2021</v>
      </c>
      <c r="P452" s="168" t="s">
        <v>1113</v>
      </c>
      <c r="Q452" s="223" t="s">
        <v>1162</v>
      </c>
    </row>
    <row r="453" spans="1:17" ht="19.5" x14ac:dyDescent="0.25">
      <c r="A453" s="101"/>
      <c r="B453" s="507" t="s">
        <v>22</v>
      </c>
      <c r="C453" s="507"/>
      <c r="D453" s="507"/>
      <c r="E453" s="507"/>
      <c r="F453" s="37">
        <v>72.625</v>
      </c>
      <c r="G453" s="92">
        <v>72.625</v>
      </c>
      <c r="H453" s="101"/>
      <c r="I453" s="101"/>
      <c r="J453" s="101"/>
      <c r="K453" s="92">
        <f>K452</f>
        <v>25.018999999999998</v>
      </c>
      <c r="L453" s="101"/>
      <c r="M453" s="101"/>
      <c r="N453" s="101"/>
      <c r="O453" s="128"/>
      <c r="P453" s="168"/>
    </row>
    <row r="454" spans="1:17" ht="54" customHeight="1" x14ac:dyDescent="0.25">
      <c r="A454" s="101">
        <v>178</v>
      </c>
      <c r="B454" s="117" t="s">
        <v>1206</v>
      </c>
      <c r="C454" s="117" t="s">
        <v>1583</v>
      </c>
      <c r="D454" s="117" t="s">
        <v>1583</v>
      </c>
      <c r="E454" s="101" t="s">
        <v>1206</v>
      </c>
      <c r="F454" s="102">
        <f>1360/1000</f>
        <v>1.36</v>
      </c>
      <c r="G454" s="89">
        <f>1360/1000</f>
        <v>1.36</v>
      </c>
      <c r="H454" s="101" t="s">
        <v>1112</v>
      </c>
      <c r="I454" s="87" t="s">
        <v>456</v>
      </c>
      <c r="J454" s="90">
        <v>23827</v>
      </c>
      <c r="K454" s="89">
        <v>0.57199999999999995</v>
      </c>
      <c r="L454" s="101">
        <v>2.2999999999999998</v>
      </c>
      <c r="M454" s="101" t="s">
        <v>27</v>
      </c>
      <c r="N454" s="101" t="s">
        <v>21</v>
      </c>
      <c r="O454" s="101">
        <v>2021</v>
      </c>
      <c r="P454" s="168" t="s">
        <v>27</v>
      </c>
      <c r="Q454" s="223" t="s">
        <v>1162</v>
      </c>
    </row>
    <row r="455" spans="1:17" ht="19.5" x14ac:dyDescent="0.25">
      <c r="A455" s="128"/>
      <c r="B455" s="507" t="s">
        <v>22</v>
      </c>
      <c r="C455" s="507"/>
      <c r="D455" s="507"/>
      <c r="E455" s="507"/>
      <c r="F455" s="37">
        <f>1360/1000</f>
        <v>1.36</v>
      </c>
      <c r="G455" s="92">
        <f>1360/1000</f>
        <v>1.36</v>
      </c>
      <c r="H455" s="128"/>
      <c r="I455" s="128"/>
      <c r="J455" s="128"/>
      <c r="K455" s="92">
        <f>K454</f>
        <v>0.57199999999999995</v>
      </c>
      <c r="L455" s="128"/>
      <c r="M455" s="128"/>
      <c r="N455" s="128"/>
      <c r="O455" s="128"/>
      <c r="P455" s="231"/>
    </row>
    <row r="456" spans="1:17" ht="63" customHeight="1" x14ac:dyDescent="0.25">
      <c r="A456" s="101">
        <v>179</v>
      </c>
      <c r="B456" s="117" t="s">
        <v>1201</v>
      </c>
      <c r="C456" s="117" t="s">
        <v>1550</v>
      </c>
      <c r="D456" s="117" t="s">
        <v>1550</v>
      </c>
      <c r="E456" s="101" t="s">
        <v>1201</v>
      </c>
      <c r="F456" s="102">
        <v>28.148</v>
      </c>
      <c r="G456" s="89">
        <v>28.148</v>
      </c>
      <c r="H456" s="101" t="s">
        <v>1112</v>
      </c>
      <c r="I456" s="87" t="s">
        <v>456</v>
      </c>
      <c r="J456" s="90">
        <v>804168</v>
      </c>
      <c r="K456" s="89">
        <v>19.3</v>
      </c>
      <c r="L456" s="101">
        <v>1.5</v>
      </c>
      <c r="M456" s="101" t="s">
        <v>1200</v>
      </c>
      <c r="N456" s="101" t="s">
        <v>21</v>
      </c>
      <c r="O456" s="101">
        <v>2021</v>
      </c>
      <c r="P456" s="168" t="s">
        <v>1200</v>
      </c>
      <c r="Q456" s="223" t="s">
        <v>1162</v>
      </c>
    </row>
    <row r="457" spans="1:17" ht="19.5" customHeight="1" x14ac:dyDescent="0.25">
      <c r="A457" s="128"/>
      <c r="B457" s="507" t="s">
        <v>22</v>
      </c>
      <c r="C457" s="507"/>
      <c r="D457" s="507"/>
      <c r="E457" s="507"/>
      <c r="F457" s="37">
        <f>28147.56/1000</f>
        <v>28.147560000000002</v>
      </c>
      <c r="G457" s="92">
        <f>28147.56/1000</f>
        <v>28.147560000000002</v>
      </c>
      <c r="H457" s="128"/>
      <c r="I457" s="128"/>
      <c r="J457" s="128"/>
      <c r="K457" s="92">
        <f>K456</f>
        <v>19.3</v>
      </c>
      <c r="L457" s="128"/>
      <c r="M457" s="128"/>
      <c r="N457" s="128"/>
      <c r="O457" s="128"/>
      <c r="P457" s="231"/>
    </row>
    <row r="458" spans="1:17" ht="54" customHeight="1" x14ac:dyDescent="0.25">
      <c r="A458" s="101">
        <v>180</v>
      </c>
      <c r="B458" s="117" t="s">
        <v>1202</v>
      </c>
      <c r="C458" s="117" t="s">
        <v>1549</v>
      </c>
      <c r="D458" s="117" t="s">
        <v>1548</v>
      </c>
      <c r="E458" s="101" t="s">
        <v>1202</v>
      </c>
      <c r="F458" s="102">
        <v>3.28</v>
      </c>
      <c r="G458" s="89">
        <v>3.28</v>
      </c>
      <c r="H458" s="101" t="s">
        <v>1112</v>
      </c>
      <c r="I458" s="87" t="s">
        <v>456</v>
      </c>
      <c r="J458" s="90">
        <v>17520</v>
      </c>
      <c r="K458" s="89">
        <v>0.42</v>
      </c>
      <c r="L458" s="101">
        <v>7.8</v>
      </c>
      <c r="M458" s="101" t="s">
        <v>27</v>
      </c>
      <c r="N458" s="101" t="s">
        <v>21</v>
      </c>
      <c r="O458" s="101">
        <v>2021</v>
      </c>
      <c r="P458" s="168" t="s">
        <v>27</v>
      </c>
      <c r="Q458" s="223" t="s">
        <v>1162</v>
      </c>
    </row>
    <row r="459" spans="1:17" ht="19.5" customHeight="1" x14ac:dyDescent="0.25">
      <c r="A459" s="101"/>
      <c r="B459" s="507" t="s">
        <v>22</v>
      </c>
      <c r="C459" s="507"/>
      <c r="D459" s="507"/>
      <c r="E459" s="507"/>
      <c r="F459" s="37">
        <f>3280/1000</f>
        <v>3.28</v>
      </c>
      <c r="G459" s="92">
        <f>3280/1000</f>
        <v>3.28</v>
      </c>
      <c r="H459" s="101"/>
      <c r="I459" s="101"/>
      <c r="J459" s="101"/>
      <c r="K459" s="92">
        <f>K458</f>
        <v>0.42</v>
      </c>
      <c r="L459" s="101"/>
      <c r="M459" s="101"/>
      <c r="N459" s="101"/>
      <c r="O459" s="128"/>
      <c r="P459" s="168"/>
    </row>
    <row r="460" spans="1:17" ht="72" customHeight="1" x14ac:dyDescent="0.25">
      <c r="A460" s="101">
        <v>181</v>
      </c>
      <c r="B460" s="117" t="s">
        <v>1203</v>
      </c>
      <c r="C460" s="117" t="s">
        <v>1547</v>
      </c>
      <c r="D460" s="117" t="s">
        <v>1385</v>
      </c>
      <c r="E460" s="101" t="s">
        <v>1203</v>
      </c>
      <c r="F460" s="102">
        <v>10</v>
      </c>
      <c r="G460" s="89">
        <v>10</v>
      </c>
      <c r="H460" s="101" t="s">
        <v>1112</v>
      </c>
      <c r="I460" s="87" t="s">
        <v>456</v>
      </c>
      <c r="J460" s="90">
        <v>119136</v>
      </c>
      <c r="K460" s="89">
        <v>2.859</v>
      </c>
      <c r="L460" s="101">
        <v>3.5</v>
      </c>
      <c r="M460" s="101" t="s">
        <v>27</v>
      </c>
      <c r="N460" s="101" t="s">
        <v>21</v>
      </c>
      <c r="O460" s="101">
        <v>2021</v>
      </c>
      <c r="P460" s="168" t="s">
        <v>27</v>
      </c>
      <c r="Q460" s="223" t="s">
        <v>1162</v>
      </c>
    </row>
    <row r="461" spans="1:17" ht="19.5" customHeight="1" x14ac:dyDescent="0.25">
      <c r="A461" s="101"/>
      <c r="B461" s="507" t="s">
        <v>22</v>
      </c>
      <c r="C461" s="507"/>
      <c r="D461" s="507"/>
      <c r="E461" s="507"/>
      <c r="F461" s="37">
        <v>10</v>
      </c>
      <c r="G461" s="92">
        <v>10</v>
      </c>
      <c r="H461" s="101"/>
      <c r="I461" s="101"/>
      <c r="J461" s="101"/>
      <c r="K461" s="92">
        <f>K460</f>
        <v>2.859</v>
      </c>
      <c r="L461" s="101"/>
      <c r="M461" s="101"/>
      <c r="N461" s="101"/>
      <c r="O461" s="128"/>
      <c r="P461" s="168"/>
    </row>
    <row r="462" spans="1:17" s="227" customFormat="1" ht="19.5" customHeight="1" x14ac:dyDescent="0.25">
      <c r="A462" s="159"/>
      <c r="B462" s="220" t="s">
        <v>1082</v>
      </c>
      <c r="C462" s="529"/>
      <c r="D462" s="529"/>
      <c r="E462" s="159"/>
      <c r="F462" s="157">
        <f>F388+F390+F392+F394+F396+F398+F400+F402+F404+F406+F408+F410+F412+F414+F416+F418+F427+F429+F431+F433+F435+F439+F442+F445+F447+F449+F451+F453+F455+F457+F459+F461</f>
        <v>29268.686483279998</v>
      </c>
      <c r="G462" s="306">
        <f>G388+G390+G392+G394+G396+G398+G400+G402+G404+G406+G408+G410+G412+G414+G416+G418+G427+G429+G431+G433+G435+G439+G442+G445+G447+G449+G451+G453+G455+G457+G459+G461</f>
        <v>29268.686483279998</v>
      </c>
      <c r="H462" s="159"/>
      <c r="I462" s="157"/>
      <c r="J462" s="157"/>
      <c r="K462" s="306">
        <f>K388+K390+K392+K394+K396+K398+K400+K402+K404+K406+K408+K410+K412+K414+K416+K418+K427+K429+K431+K433+K435+K439+K442+K445+K447+K449+K451+K453+K455+K457+K459+K461</f>
        <v>932.16462899999988</v>
      </c>
      <c r="L462" s="159"/>
      <c r="M462" s="159"/>
      <c r="N462" s="159"/>
      <c r="O462" s="159"/>
      <c r="P462" s="224"/>
    </row>
    <row r="463" spans="1:17" ht="98.65" customHeight="1" x14ac:dyDescent="0.25">
      <c r="A463" s="101">
        <v>182</v>
      </c>
      <c r="B463" s="120" t="s">
        <v>1760</v>
      </c>
      <c r="C463" s="120" t="s">
        <v>1291</v>
      </c>
      <c r="D463" s="120" t="s">
        <v>1546</v>
      </c>
      <c r="E463" s="128" t="s">
        <v>1296</v>
      </c>
      <c r="F463" s="125">
        <v>53.843000000000004</v>
      </c>
      <c r="G463" s="126">
        <v>53.843000000000004</v>
      </c>
      <c r="H463" s="101" t="s">
        <v>1112</v>
      </c>
      <c r="I463" s="87" t="s">
        <v>456</v>
      </c>
      <c r="J463" s="126">
        <v>129333.026</v>
      </c>
      <c r="K463" s="126">
        <v>3.7174999999999998</v>
      </c>
      <c r="L463" s="128">
        <v>14</v>
      </c>
      <c r="M463" s="128" t="s">
        <v>471</v>
      </c>
      <c r="N463" s="128" t="s">
        <v>21</v>
      </c>
      <c r="O463" s="128">
        <v>2022</v>
      </c>
      <c r="P463" s="231" t="s">
        <v>471</v>
      </c>
    </row>
    <row r="464" spans="1:17" ht="26.25" customHeight="1" x14ac:dyDescent="0.25">
      <c r="A464" s="128"/>
      <c r="B464" s="507" t="s">
        <v>22</v>
      </c>
      <c r="C464" s="507"/>
      <c r="D464" s="507"/>
      <c r="E464" s="507"/>
      <c r="F464" s="129">
        <v>53.843000000000004</v>
      </c>
      <c r="G464" s="245">
        <v>53.843000000000004</v>
      </c>
      <c r="H464" s="128"/>
      <c r="I464" s="128"/>
      <c r="J464" s="128"/>
      <c r="K464" s="245">
        <v>3.7174999999999998</v>
      </c>
      <c r="L464" s="128"/>
      <c r="M464" s="128"/>
      <c r="N464" s="128"/>
      <c r="O464" s="128"/>
      <c r="P464" s="231"/>
    </row>
    <row r="465" spans="1:19" ht="112.5" x14ac:dyDescent="0.25">
      <c r="A465" s="101">
        <v>183</v>
      </c>
      <c r="B465" s="119" t="s">
        <v>1759</v>
      </c>
      <c r="C465" s="119" t="s">
        <v>1544</v>
      </c>
      <c r="D465" s="117" t="s">
        <v>1545</v>
      </c>
      <c r="E465" s="131" t="s">
        <v>1292</v>
      </c>
      <c r="F465" s="125">
        <v>89.789000000000001</v>
      </c>
      <c r="G465" s="126">
        <v>89.789000000000001</v>
      </c>
      <c r="H465" s="101" t="s">
        <v>1112</v>
      </c>
      <c r="I465" s="87" t="s">
        <v>456</v>
      </c>
      <c r="J465" s="93">
        <v>155000</v>
      </c>
      <c r="K465" s="126">
        <v>8.6753499999999999</v>
      </c>
      <c r="L465" s="128">
        <v>10</v>
      </c>
      <c r="M465" s="128" t="s">
        <v>471</v>
      </c>
      <c r="N465" s="128" t="s">
        <v>21</v>
      </c>
      <c r="O465" s="128">
        <v>2022</v>
      </c>
      <c r="P465" s="231" t="s">
        <v>471</v>
      </c>
      <c r="R465" s="221" t="s">
        <v>1209</v>
      </c>
    </row>
    <row r="466" spans="1:19" ht="19.5" customHeight="1" x14ac:dyDescent="0.25">
      <c r="A466" s="128"/>
      <c r="B466" s="507" t="s">
        <v>22</v>
      </c>
      <c r="C466" s="507"/>
      <c r="D466" s="507"/>
      <c r="E466" s="507"/>
      <c r="F466" s="129">
        <v>89.789000000000001</v>
      </c>
      <c r="G466" s="245">
        <v>89.789000000000001</v>
      </c>
      <c r="H466" s="128"/>
      <c r="I466" s="128"/>
      <c r="J466" s="128"/>
      <c r="K466" s="245">
        <v>8.6753499999999999</v>
      </c>
      <c r="L466" s="128"/>
      <c r="M466" s="128"/>
      <c r="N466" s="128"/>
      <c r="O466" s="128"/>
      <c r="P466" s="231"/>
      <c r="R466" s="221" t="s">
        <v>1210</v>
      </c>
    </row>
    <row r="467" spans="1:19" ht="43.35" customHeight="1" x14ac:dyDescent="0.25">
      <c r="A467" s="101">
        <v>184</v>
      </c>
      <c r="B467" s="195" t="s">
        <v>1758</v>
      </c>
      <c r="C467" s="119" t="s">
        <v>1295</v>
      </c>
      <c r="D467" s="117" t="s">
        <v>1294</v>
      </c>
      <c r="E467" s="128" t="s">
        <v>280</v>
      </c>
      <c r="F467" s="125">
        <f>1164.4/1000</f>
        <v>1.1644000000000001</v>
      </c>
      <c r="G467" s="126">
        <f>1164.4/1000</f>
        <v>1.1644000000000001</v>
      </c>
      <c r="H467" s="101" t="s">
        <v>428</v>
      </c>
      <c r="I467" s="101" t="s">
        <v>37</v>
      </c>
      <c r="J467" s="132">
        <v>37.360999999999997</v>
      </c>
      <c r="K467" s="126">
        <f>515.9/1000</f>
        <v>0.51590000000000003</v>
      </c>
      <c r="L467" s="128">
        <v>2.1</v>
      </c>
      <c r="M467" s="128" t="s">
        <v>471</v>
      </c>
      <c r="N467" s="128" t="s">
        <v>21</v>
      </c>
      <c r="O467" s="128">
        <v>2022</v>
      </c>
      <c r="P467" s="231" t="s">
        <v>471</v>
      </c>
      <c r="R467" s="221" t="s">
        <v>1209</v>
      </c>
    </row>
    <row r="468" spans="1:19" ht="19.5" customHeight="1" x14ac:dyDescent="0.25">
      <c r="A468" s="128"/>
      <c r="B468" s="507" t="s">
        <v>22</v>
      </c>
      <c r="C468" s="507"/>
      <c r="D468" s="507"/>
      <c r="E468" s="507"/>
      <c r="F468" s="129">
        <v>1.2</v>
      </c>
      <c r="G468" s="245">
        <v>1.2</v>
      </c>
      <c r="H468" s="128"/>
      <c r="I468" s="128"/>
      <c r="J468" s="128"/>
      <c r="K468" s="245">
        <v>0.5</v>
      </c>
      <c r="L468" s="128"/>
      <c r="M468" s="128"/>
      <c r="N468" s="128"/>
      <c r="O468" s="128"/>
      <c r="P468" s="231"/>
      <c r="R468" s="221" t="s">
        <v>1210</v>
      </c>
    </row>
    <row r="469" spans="1:19" ht="39" customHeight="1" x14ac:dyDescent="0.25">
      <c r="A469" s="101">
        <v>185</v>
      </c>
      <c r="B469" s="119" t="s">
        <v>1757</v>
      </c>
      <c r="C469" s="119" t="s">
        <v>1543</v>
      </c>
      <c r="D469" s="117" t="s">
        <v>1298</v>
      </c>
      <c r="E469" s="128" t="s">
        <v>1386</v>
      </c>
      <c r="F469" s="125">
        <f>5717/1000</f>
        <v>5.7169999999999996</v>
      </c>
      <c r="G469" s="126">
        <f>5717/1000</f>
        <v>5.7169999999999996</v>
      </c>
      <c r="H469" s="101" t="s">
        <v>428</v>
      </c>
      <c r="I469" s="87" t="s">
        <v>456</v>
      </c>
      <c r="J469" s="93">
        <v>145360</v>
      </c>
      <c r="K469" s="126">
        <v>2.5</v>
      </c>
      <c r="L469" s="128">
        <v>2.2999999999999998</v>
      </c>
      <c r="M469" s="128" t="s">
        <v>438</v>
      </c>
      <c r="N469" s="101" t="s">
        <v>21</v>
      </c>
      <c r="O469" s="128">
        <v>2022</v>
      </c>
      <c r="P469" s="231" t="s">
        <v>438</v>
      </c>
    </row>
    <row r="470" spans="1:19" ht="31.5" customHeight="1" x14ac:dyDescent="0.25">
      <c r="A470" s="128"/>
      <c r="B470" s="507" t="s">
        <v>22</v>
      </c>
      <c r="C470" s="507"/>
      <c r="D470" s="507"/>
      <c r="E470" s="507"/>
      <c r="F470" s="129">
        <v>5.7</v>
      </c>
      <c r="G470" s="245">
        <v>5.7</v>
      </c>
      <c r="H470" s="128"/>
      <c r="I470" s="128"/>
      <c r="J470" s="128"/>
      <c r="K470" s="245">
        <v>2.5</v>
      </c>
      <c r="L470" s="128"/>
      <c r="M470" s="128"/>
      <c r="N470" s="128"/>
      <c r="O470" s="128"/>
      <c r="P470" s="231"/>
    </row>
    <row r="471" spans="1:19" ht="37.5" customHeight="1" x14ac:dyDescent="0.25">
      <c r="A471" s="101">
        <v>186</v>
      </c>
      <c r="B471" s="119" t="s">
        <v>1757</v>
      </c>
      <c r="C471" s="119" t="s">
        <v>1541</v>
      </c>
      <c r="D471" s="117" t="s">
        <v>92</v>
      </c>
      <c r="E471" s="128" t="s">
        <v>1386</v>
      </c>
      <c r="F471" s="125">
        <f>1702/1000</f>
        <v>1.702</v>
      </c>
      <c r="G471" s="126">
        <f>1702/1000</f>
        <v>1.702</v>
      </c>
      <c r="H471" s="101" t="s">
        <v>428</v>
      </c>
      <c r="I471" s="87" t="s">
        <v>456</v>
      </c>
      <c r="J471" s="93">
        <v>31900</v>
      </c>
      <c r="K471" s="126">
        <f>545/1000</f>
        <v>0.54500000000000004</v>
      </c>
      <c r="L471" s="128">
        <v>3.1</v>
      </c>
      <c r="M471" s="128" t="s">
        <v>438</v>
      </c>
      <c r="N471" s="101" t="s">
        <v>21</v>
      </c>
      <c r="O471" s="128">
        <v>2022</v>
      </c>
      <c r="P471" s="231" t="s">
        <v>438</v>
      </c>
      <c r="R471" s="221" t="s">
        <v>1210</v>
      </c>
    </row>
    <row r="472" spans="1:19" ht="27" customHeight="1" x14ac:dyDescent="0.25">
      <c r="A472" s="128"/>
      <c r="B472" s="507" t="s">
        <v>22</v>
      </c>
      <c r="C472" s="507"/>
      <c r="D472" s="507"/>
      <c r="E472" s="507"/>
      <c r="F472" s="129">
        <v>1.7</v>
      </c>
      <c r="G472" s="245">
        <v>1.7</v>
      </c>
      <c r="H472" s="128"/>
      <c r="I472" s="128"/>
      <c r="J472" s="128"/>
      <c r="K472" s="245">
        <v>0.5</v>
      </c>
      <c r="L472" s="128"/>
      <c r="M472" s="128"/>
      <c r="N472" s="128"/>
      <c r="O472" s="128"/>
      <c r="P472" s="231"/>
    </row>
    <row r="473" spans="1:19" ht="43.5" customHeight="1" x14ac:dyDescent="0.25">
      <c r="A473" s="101">
        <v>187</v>
      </c>
      <c r="B473" s="119" t="s">
        <v>1757</v>
      </c>
      <c r="C473" s="119" t="s">
        <v>1542</v>
      </c>
      <c r="D473" s="117" t="s">
        <v>1147</v>
      </c>
      <c r="E473" s="128" t="s">
        <v>1386</v>
      </c>
      <c r="F473" s="125">
        <f>11750/1000</f>
        <v>11.75</v>
      </c>
      <c r="G473" s="126">
        <f>11750/1000</f>
        <v>11.75</v>
      </c>
      <c r="H473" s="101" t="s">
        <v>428</v>
      </c>
      <c r="I473" s="101" t="s">
        <v>37</v>
      </c>
      <c r="J473" s="150">
        <v>235.7</v>
      </c>
      <c r="K473" s="126">
        <f>4196.4/1000</f>
        <v>4.1963999999999997</v>
      </c>
      <c r="L473" s="128">
        <v>2.8</v>
      </c>
      <c r="M473" s="128" t="s">
        <v>438</v>
      </c>
      <c r="N473" s="101" t="s">
        <v>21</v>
      </c>
      <c r="O473" s="128">
        <v>2022</v>
      </c>
      <c r="P473" s="231" t="s">
        <v>438</v>
      </c>
    </row>
    <row r="474" spans="1:19" ht="35.25" customHeight="1" x14ac:dyDescent="0.25">
      <c r="A474" s="128"/>
      <c r="B474" s="507" t="s">
        <v>22</v>
      </c>
      <c r="C474" s="507"/>
      <c r="D474" s="507"/>
      <c r="E474" s="507"/>
      <c r="F474" s="129">
        <v>11.8</v>
      </c>
      <c r="G474" s="245">
        <v>11.8</v>
      </c>
      <c r="H474" s="128"/>
      <c r="I474" s="128"/>
      <c r="J474" s="128"/>
      <c r="K474" s="245">
        <v>4.2</v>
      </c>
      <c r="L474" s="128"/>
      <c r="M474" s="128"/>
      <c r="N474" s="128"/>
      <c r="O474" s="128"/>
      <c r="P474" s="231"/>
    </row>
    <row r="475" spans="1:19" ht="98.1" customHeight="1" x14ac:dyDescent="0.25">
      <c r="A475" s="101">
        <v>188</v>
      </c>
      <c r="B475" s="120" t="s">
        <v>1540</v>
      </c>
      <c r="C475" s="120" t="s">
        <v>1539</v>
      </c>
      <c r="D475" s="117" t="s">
        <v>1642</v>
      </c>
      <c r="E475" s="107" t="s">
        <v>1540</v>
      </c>
      <c r="F475" s="127">
        <f>9.432565</f>
        <v>9.4325650000000003</v>
      </c>
      <c r="G475" s="126">
        <f>9.432565</f>
        <v>9.4325650000000003</v>
      </c>
      <c r="H475" s="101" t="s">
        <v>1112</v>
      </c>
      <c r="I475" s="87" t="s">
        <v>1170</v>
      </c>
      <c r="J475" s="93">
        <v>22663</v>
      </c>
      <c r="K475" s="126">
        <v>0.49609999999999999</v>
      </c>
      <c r="L475" s="128">
        <v>19</v>
      </c>
      <c r="M475" s="128" t="s">
        <v>1149</v>
      </c>
      <c r="N475" s="101" t="s">
        <v>21</v>
      </c>
      <c r="O475" s="128">
        <v>2022</v>
      </c>
      <c r="P475" s="231" t="s">
        <v>1149</v>
      </c>
      <c r="S475" s="173" t="s">
        <v>1520</v>
      </c>
    </row>
    <row r="476" spans="1:19" ht="19.5" x14ac:dyDescent="0.25">
      <c r="A476" s="128"/>
      <c r="B476" s="507" t="s">
        <v>22</v>
      </c>
      <c r="C476" s="507"/>
      <c r="D476" s="507"/>
      <c r="E476" s="507"/>
      <c r="F476" s="130">
        <v>9.4326000000000008</v>
      </c>
      <c r="G476" s="245">
        <v>9.4326000000000008</v>
      </c>
      <c r="H476" s="128"/>
      <c r="I476" s="128"/>
      <c r="J476" s="128"/>
      <c r="K476" s="245">
        <v>0.49609999999999999</v>
      </c>
      <c r="L476" s="128"/>
      <c r="M476" s="128"/>
      <c r="N476" s="128"/>
      <c r="O476" s="128"/>
      <c r="P476" s="231"/>
    </row>
    <row r="477" spans="1:19" ht="49.5" customHeight="1" x14ac:dyDescent="0.25">
      <c r="A477" s="101">
        <v>189</v>
      </c>
      <c r="B477" s="120" t="s">
        <v>1756</v>
      </c>
      <c r="C477" s="120" t="s">
        <v>1446</v>
      </c>
      <c r="D477" s="120" t="s">
        <v>1446</v>
      </c>
      <c r="E477" s="107" t="s">
        <v>1445</v>
      </c>
      <c r="F477" s="127">
        <v>1.15066</v>
      </c>
      <c r="G477" s="126">
        <v>1.15066</v>
      </c>
      <c r="H477" s="101" t="s">
        <v>428</v>
      </c>
      <c r="I477" s="87" t="s">
        <v>456</v>
      </c>
      <c r="J477" s="93">
        <v>79155</v>
      </c>
      <c r="K477" s="126">
        <v>1.8</v>
      </c>
      <c r="L477" s="128">
        <v>0.6</v>
      </c>
      <c r="M477" s="128" t="s">
        <v>492</v>
      </c>
      <c r="N477" s="101" t="s">
        <v>21</v>
      </c>
      <c r="O477" s="128">
        <v>2022</v>
      </c>
      <c r="P477" s="231" t="s">
        <v>492</v>
      </c>
    </row>
    <row r="478" spans="1:19" ht="19.5" x14ac:dyDescent="0.25">
      <c r="A478" s="128"/>
      <c r="B478" s="507" t="s">
        <v>22</v>
      </c>
      <c r="C478" s="507"/>
      <c r="D478" s="507"/>
      <c r="E478" s="507"/>
      <c r="F478" s="130">
        <f>F477</f>
        <v>1.15066</v>
      </c>
      <c r="G478" s="245">
        <f>G477</f>
        <v>1.15066</v>
      </c>
      <c r="H478" s="128"/>
      <c r="I478" s="128"/>
      <c r="J478" s="128"/>
      <c r="K478" s="245">
        <f>K477</f>
        <v>1.8</v>
      </c>
      <c r="L478" s="128"/>
      <c r="M478" s="128"/>
      <c r="N478" s="128"/>
      <c r="O478" s="128"/>
      <c r="P478" s="231"/>
    </row>
    <row r="479" spans="1:19" ht="66.75" customHeight="1" x14ac:dyDescent="0.25">
      <c r="A479" s="101">
        <v>190</v>
      </c>
      <c r="B479" s="120" t="s">
        <v>1451</v>
      </c>
      <c r="C479" s="120" t="s">
        <v>1531</v>
      </c>
      <c r="D479" s="120" t="s">
        <v>1534</v>
      </c>
      <c r="E479" s="107" t="s">
        <v>1449</v>
      </c>
      <c r="F479" s="127">
        <v>0.42699999999999999</v>
      </c>
      <c r="G479" s="126">
        <v>0.42699999999999999</v>
      </c>
      <c r="H479" s="128" t="s">
        <v>427</v>
      </c>
      <c r="I479" s="87" t="s">
        <v>283</v>
      </c>
      <c r="J479" s="93">
        <v>2583381</v>
      </c>
      <c r="K479" s="126">
        <v>9.2999999999999999E-2</v>
      </c>
      <c r="L479" s="128">
        <v>4.5999999999999996</v>
      </c>
      <c r="M479" s="128" t="s">
        <v>1182</v>
      </c>
      <c r="N479" s="101" t="s">
        <v>21</v>
      </c>
      <c r="O479" s="128">
        <v>2022</v>
      </c>
      <c r="P479" s="231" t="s">
        <v>1182</v>
      </c>
      <c r="Q479" s="223" t="s">
        <v>1207</v>
      </c>
    </row>
    <row r="480" spans="1:19" ht="30" customHeight="1" x14ac:dyDescent="0.25">
      <c r="A480" s="101"/>
      <c r="B480" s="507" t="s">
        <v>22</v>
      </c>
      <c r="C480" s="507"/>
      <c r="D480" s="507"/>
      <c r="E480" s="507"/>
      <c r="F480" s="130">
        <v>0.42699999999999999</v>
      </c>
      <c r="G480" s="245">
        <v>0.42699999999999999</v>
      </c>
      <c r="H480" s="128"/>
      <c r="I480" s="87"/>
      <c r="J480" s="93"/>
      <c r="K480" s="245">
        <v>9.2999999999999999E-2</v>
      </c>
      <c r="L480" s="128"/>
      <c r="M480" s="128"/>
      <c r="N480" s="101"/>
      <c r="O480" s="128"/>
      <c r="P480" s="231"/>
    </row>
    <row r="481" spans="1:19" ht="56.25" x14ac:dyDescent="0.25">
      <c r="A481" s="101">
        <v>191</v>
      </c>
      <c r="B481" s="120" t="s">
        <v>1451</v>
      </c>
      <c r="C481" s="120" t="s">
        <v>1531</v>
      </c>
      <c r="D481" s="120" t="s">
        <v>1535</v>
      </c>
      <c r="E481" s="107" t="s">
        <v>1449</v>
      </c>
      <c r="F481" s="127">
        <v>0.44900000000000001</v>
      </c>
      <c r="G481" s="126">
        <v>0.44900000000000001</v>
      </c>
      <c r="H481" s="128" t="s">
        <v>427</v>
      </c>
      <c r="I481" s="87" t="s">
        <v>283</v>
      </c>
      <c r="J481" s="93">
        <v>2602320</v>
      </c>
      <c r="K481" s="126">
        <v>9.2999999999999999E-2</v>
      </c>
      <c r="L481" s="128">
        <v>4.8</v>
      </c>
      <c r="M481" s="128" t="s">
        <v>1182</v>
      </c>
      <c r="N481" s="101" t="s">
        <v>21</v>
      </c>
      <c r="O481" s="128">
        <v>2022</v>
      </c>
      <c r="P481" s="231" t="s">
        <v>1182</v>
      </c>
    </row>
    <row r="482" spans="1:19" ht="19.5" x14ac:dyDescent="0.25">
      <c r="A482" s="101"/>
      <c r="B482" s="507" t="s">
        <v>22</v>
      </c>
      <c r="C482" s="507"/>
      <c r="D482" s="507"/>
      <c r="E482" s="507"/>
      <c r="F482" s="130">
        <v>0.44900000000000001</v>
      </c>
      <c r="G482" s="245">
        <v>0.44900000000000001</v>
      </c>
      <c r="H482" s="128"/>
      <c r="I482" s="87"/>
      <c r="J482" s="93"/>
      <c r="K482" s="245">
        <v>9.2999999999999999E-2</v>
      </c>
      <c r="L482" s="128"/>
      <c r="M482" s="128"/>
      <c r="N482" s="101"/>
      <c r="O482" s="128"/>
      <c r="P482" s="231"/>
    </row>
    <row r="483" spans="1:19" ht="69" customHeight="1" x14ac:dyDescent="0.25">
      <c r="A483" s="101">
        <v>192</v>
      </c>
      <c r="B483" s="120" t="s">
        <v>1451</v>
      </c>
      <c r="C483" s="120" t="s">
        <v>1531</v>
      </c>
      <c r="D483" s="120" t="s">
        <v>1536</v>
      </c>
      <c r="E483" s="107" t="s">
        <v>1449</v>
      </c>
      <c r="F483" s="127">
        <v>0.435</v>
      </c>
      <c r="G483" s="126">
        <v>0.435</v>
      </c>
      <c r="H483" s="128" t="s">
        <v>427</v>
      </c>
      <c r="I483" s="87" t="s">
        <v>283</v>
      </c>
      <c r="J483" s="93">
        <v>2576309</v>
      </c>
      <c r="K483" s="126">
        <v>9.2999999999999999E-2</v>
      </c>
      <c r="L483" s="128">
        <v>4.7</v>
      </c>
      <c r="M483" s="128" t="s">
        <v>1182</v>
      </c>
      <c r="N483" s="101" t="s">
        <v>21</v>
      </c>
      <c r="O483" s="128">
        <v>2022</v>
      </c>
      <c r="P483" s="231" t="s">
        <v>1182</v>
      </c>
      <c r="R483" s="221" t="s">
        <v>1209</v>
      </c>
    </row>
    <row r="484" spans="1:19" ht="37.5" customHeight="1" x14ac:dyDescent="0.25">
      <c r="A484" s="101"/>
      <c r="B484" s="507" t="s">
        <v>22</v>
      </c>
      <c r="C484" s="507"/>
      <c r="D484" s="507"/>
      <c r="E484" s="507"/>
      <c r="F484" s="130">
        <v>0.435</v>
      </c>
      <c r="G484" s="245">
        <v>0.435</v>
      </c>
      <c r="H484" s="128"/>
      <c r="I484" s="87"/>
      <c r="J484" s="93"/>
      <c r="K484" s="245">
        <v>9.2999999999999999E-2</v>
      </c>
      <c r="L484" s="128"/>
      <c r="M484" s="128"/>
      <c r="N484" s="101"/>
      <c r="O484" s="128"/>
      <c r="P484" s="231"/>
      <c r="R484" s="221"/>
    </row>
    <row r="485" spans="1:19" ht="63.75" customHeight="1" x14ac:dyDescent="0.25">
      <c r="A485" s="101">
        <v>193</v>
      </c>
      <c r="B485" s="120" t="s">
        <v>1451</v>
      </c>
      <c r="C485" s="120" t="s">
        <v>1531</v>
      </c>
      <c r="D485" s="120" t="s">
        <v>1537</v>
      </c>
      <c r="E485" s="107" t="s">
        <v>1449</v>
      </c>
      <c r="F485" s="127">
        <v>0.46500000000000002</v>
      </c>
      <c r="G485" s="126">
        <v>0.46500000000000002</v>
      </c>
      <c r="H485" s="128" t="s">
        <v>427</v>
      </c>
      <c r="I485" s="87" t="s">
        <v>283</v>
      </c>
      <c r="J485" s="93">
        <v>2639531</v>
      </c>
      <c r="K485" s="126">
        <v>9.5000000000000001E-2</v>
      </c>
      <c r="L485" s="128">
        <v>4.9000000000000004</v>
      </c>
      <c r="M485" s="128" t="s">
        <v>1182</v>
      </c>
      <c r="N485" s="101" t="s">
        <v>21</v>
      </c>
      <c r="O485" s="128">
        <v>2022</v>
      </c>
      <c r="P485" s="231" t="s">
        <v>1182</v>
      </c>
    </row>
    <row r="486" spans="1:19" ht="19.5" x14ac:dyDescent="0.25">
      <c r="A486" s="101"/>
      <c r="B486" s="507" t="s">
        <v>22</v>
      </c>
      <c r="C486" s="507"/>
      <c r="D486" s="507"/>
      <c r="E486" s="507"/>
      <c r="F486" s="130">
        <v>0.46500000000000002</v>
      </c>
      <c r="G486" s="245">
        <v>0.46500000000000002</v>
      </c>
      <c r="H486" s="128"/>
      <c r="I486" s="87"/>
      <c r="J486" s="93"/>
      <c r="K486" s="245">
        <v>9.5000000000000001E-2</v>
      </c>
      <c r="L486" s="128"/>
      <c r="M486" s="128"/>
      <c r="N486" s="101"/>
      <c r="O486" s="128"/>
      <c r="P486" s="231"/>
    </row>
    <row r="487" spans="1:19" ht="56.25" x14ac:dyDescent="0.25">
      <c r="A487" s="101">
        <v>194</v>
      </c>
      <c r="B487" s="120" t="s">
        <v>1451</v>
      </c>
      <c r="C487" s="120" t="s">
        <v>1531</v>
      </c>
      <c r="D487" s="120" t="s">
        <v>1538</v>
      </c>
      <c r="E487" s="107" t="s">
        <v>1449</v>
      </c>
      <c r="F487" s="127">
        <v>0.39200000000000002</v>
      </c>
      <c r="G487" s="126">
        <v>0.39200000000000002</v>
      </c>
      <c r="H487" s="128" t="s">
        <v>427</v>
      </c>
      <c r="I487" s="87" t="s">
        <v>283</v>
      </c>
      <c r="J487" s="93">
        <v>2426156</v>
      </c>
      <c r="K487" s="126">
        <v>8.6999999999999994E-2</v>
      </c>
      <c r="L487" s="128">
        <v>4.5</v>
      </c>
      <c r="M487" s="128" t="s">
        <v>1182</v>
      </c>
      <c r="N487" s="101" t="s">
        <v>21</v>
      </c>
      <c r="O487" s="128">
        <v>2022</v>
      </c>
      <c r="P487" s="231" t="s">
        <v>1182</v>
      </c>
    </row>
    <row r="488" spans="1:19" ht="19.5" x14ac:dyDescent="0.25">
      <c r="A488" s="128"/>
      <c r="B488" s="507" t="s">
        <v>22</v>
      </c>
      <c r="C488" s="507"/>
      <c r="D488" s="507"/>
      <c r="E488" s="507"/>
      <c r="F488" s="130">
        <v>0.39200000000000002</v>
      </c>
      <c r="G488" s="245">
        <v>0.39200000000000002</v>
      </c>
      <c r="H488" s="128"/>
      <c r="I488" s="128"/>
      <c r="J488" s="128"/>
      <c r="K488" s="245">
        <v>8.6999999999999994E-2</v>
      </c>
      <c r="L488" s="128"/>
      <c r="M488" s="128"/>
      <c r="N488" s="128"/>
      <c r="O488" s="128"/>
      <c r="P488" s="231"/>
    </row>
    <row r="489" spans="1:19" ht="56.1" customHeight="1" x14ac:dyDescent="0.25">
      <c r="A489" s="101">
        <v>195</v>
      </c>
      <c r="B489" s="120" t="s">
        <v>1754</v>
      </c>
      <c r="C489" s="120" t="s">
        <v>1532</v>
      </c>
      <c r="D489" s="120" t="s">
        <v>1533</v>
      </c>
      <c r="E489" s="107" t="s">
        <v>1452</v>
      </c>
      <c r="F489" s="127">
        <v>8.7188199999999991</v>
      </c>
      <c r="G489" s="126">
        <v>8.7188199999999991</v>
      </c>
      <c r="H489" s="128" t="s">
        <v>427</v>
      </c>
      <c r="I489" s="87" t="s">
        <v>456</v>
      </c>
      <c r="J489" s="93">
        <v>419235</v>
      </c>
      <c r="K489" s="126">
        <v>9.4777000000000005</v>
      </c>
      <c r="L489" s="128">
        <v>0.9</v>
      </c>
      <c r="M489" s="128" t="s">
        <v>1068</v>
      </c>
      <c r="N489" s="101" t="s">
        <v>21</v>
      </c>
      <c r="O489" s="128">
        <v>2022</v>
      </c>
      <c r="P489" s="231" t="s">
        <v>1068</v>
      </c>
      <c r="S489" s="223" t="s">
        <v>1521</v>
      </c>
    </row>
    <row r="490" spans="1:19" ht="19.5" x14ac:dyDescent="0.25">
      <c r="A490" s="128"/>
      <c r="B490" s="507" t="s">
        <v>22</v>
      </c>
      <c r="C490" s="507"/>
      <c r="D490" s="507"/>
      <c r="E490" s="507"/>
      <c r="F490" s="130">
        <f>F489</f>
        <v>8.7188199999999991</v>
      </c>
      <c r="G490" s="245">
        <f>G489</f>
        <v>8.7188199999999991</v>
      </c>
      <c r="H490" s="128"/>
      <c r="I490" s="128"/>
      <c r="J490" s="128"/>
      <c r="K490" s="245">
        <f>K489</f>
        <v>9.4777000000000005</v>
      </c>
      <c r="L490" s="128"/>
      <c r="M490" s="128"/>
      <c r="N490" s="128"/>
      <c r="O490" s="128"/>
      <c r="P490" s="231"/>
    </row>
    <row r="491" spans="1:19" x14ac:dyDescent="0.25">
      <c r="A491" s="453">
        <v>196</v>
      </c>
      <c r="B491" s="444" t="s">
        <v>1753</v>
      </c>
      <c r="C491" s="439" t="s">
        <v>1165</v>
      </c>
      <c r="D491" s="117" t="s">
        <v>1166</v>
      </c>
      <c r="E491" s="443" t="s">
        <v>1456</v>
      </c>
      <c r="F491" s="379">
        <f>800/1000</f>
        <v>0.8</v>
      </c>
      <c r="G491" s="380">
        <f>800/1000</f>
        <v>0.8</v>
      </c>
      <c r="H491" s="447" t="s">
        <v>1112</v>
      </c>
      <c r="I491" s="337" t="s">
        <v>133</v>
      </c>
      <c r="J491" s="381">
        <v>7.7</v>
      </c>
      <c r="K491" s="380">
        <f>345.195/1000</f>
        <v>0.34519499999999997</v>
      </c>
      <c r="L491" s="116">
        <v>2.2999999999999998</v>
      </c>
      <c r="M491" s="433" t="s">
        <v>1182</v>
      </c>
      <c r="N491" s="492" t="s">
        <v>21</v>
      </c>
      <c r="O491" s="447">
        <v>2021</v>
      </c>
      <c r="P491" s="537" t="s">
        <v>1182</v>
      </c>
    </row>
    <row r="492" spans="1:19" x14ac:dyDescent="0.25">
      <c r="A492" s="453"/>
      <c r="B492" s="444"/>
      <c r="C492" s="439"/>
      <c r="D492" s="117" t="s">
        <v>1167</v>
      </c>
      <c r="E492" s="443"/>
      <c r="F492" s="375">
        <f>28320/1000</f>
        <v>28.32</v>
      </c>
      <c r="G492" s="248">
        <f>28320/1000</f>
        <v>28.32</v>
      </c>
      <c r="H492" s="491"/>
      <c r="I492" s="87" t="s">
        <v>1110</v>
      </c>
      <c r="J492" s="376" t="s">
        <v>1168</v>
      </c>
      <c r="K492" s="248">
        <f>9367.77/1000</f>
        <v>9.3677700000000002</v>
      </c>
      <c r="L492" s="101">
        <v>3.1</v>
      </c>
      <c r="M492" s="427"/>
      <c r="N492" s="493"/>
      <c r="O492" s="491"/>
      <c r="P492" s="535"/>
    </row>
    <row r="493" spans="1:19" ht="37.5" x14ac:dyDescent="0.25">
      <c r="A493" s="453"/>
      <c r="B493" s="444"/>
      <c r="C493" s="439"/>
      <c r="D493" s="117" t="s">
        <v>1530</v>
      </c>
      <c r="E493" s="443"/>
      <c r="F493" s="375">
        <f>210/1000</f>
        <v>0.21</v>
      </c>
      <c r="G493" s="248">
        <f>210/1000</f>
        <v>0.21</v>
      </c>
      <c r="H493" s="448"/>
      <c r="I493" s="87" t="s">
        <v>1110</v>
      </c>
      <c r="J493" s="376" t="s">
        <v>1169</v>
      </c>
      <c r="K493" s="248">
        <f>220.031/1000</f>
        <v>0.220031</v>
      </c>
      <c r="L493" s="84">
        <v>0.95</v>
      </c>
      <c r="M493" s="427"/>
      <c r="N493" s="494"/>
      <c r="O493" s="448"/>
      <c r="P493" s="535"/>
    </row>
    <row r="494" spans="1:19" ht="19.5" x14ac:dyDescent="0.25">
      <c r="A494" s="128"/>
      <c r="B494" s="507" t="s">
        <v>22</v>
      </c>
      <c r="C494" s="507"/>
      <c r="D494" s="507"/>
      <c r="E494" s="507"/>
      <c r="F494" s="382">
        <f>F491+F492+F493</f>
        <v>29.330000000000002</v>
      </c>
      <c r="G494" s="249">
        <f>G491+G492+G493</f>
        <v>29.330000000000002</v>
      </c>
      <c r="H494" s="128"/>
      <c r="I494" s="87"/>
      <c r="J494" s="376"/>
      <c r="K494" s="249">
        <f>K491+K492+K493</f>
        <v>9.932996000000001</v>
      </c>
      <c r="L494" s="84"/>
      <c r="M494" s="128"/>
      <c r="N494" s="128"/>
      <c r="O494" s="128"/>
      <c r="P494" s="231"/>
    </row>
    <row r="495" spans="1:19" ht="37.5" x14ac:dyDescent="0.25">
      <c r="A495" s="449">
        <v>197</v>
      </c>
      <c r="B495" s="505" t="s">
        <v>1755</v>
      </c>
      <c r="C495" s="505" t="s">
        <v>1529</v>
      </c>
      <c r="D495" s="190" t="s">
        <v>1528</v>
      </c>
      <c r="E495" s="447" t="s">
        <v>522</v>
      </c>
      <c r="F495" s="127">
        <v>2.1230000000000002</v>
      </c>
      <c r="G495" s="126">
        <v>2.1230000000000002</v>
      </c>
      <c r="H495" s="447" t="s">
        <v>524</v>
      </c>
      <c r="I495" s="87" t="s">
        <v>1110</v>
      </c>
      <c r="J495" s="161">
        <v>10700</v>
      </c>
      <c r="K495" s="383">
        <v>0.23699999999999999</v>
      </c>
      <c r="L495" s="128">
        <v>9</v>
      </c>
      <c r="M495" s="447" t="s">
        <v>1081</v>
      </c>
      <c r="N495" s="449" t="s">
        <v>21</v>
      </c>
      <c r="O495" s="447">
        <v>2022</v>
      </c>
      <c r="P495" s="538" t="s">
        <v>1081</v>
      </c>
    </row>
    <row r="496" spans="1:19" x14ac:dyDescent="0.25">
      <c r="A496" s="433"/>
      <c r="B496" s="506"/>
      <c r="C496" s="506"/>
      <c r="D496" s="190" t="s">
        <v>1453</v>
      </c>
      <c r="E496" s="448"/>
      <c r="F496" s="127">
        <v>1.48</v>
      </c>
      <c r="G496" s="126">
        <v>1.48</v>
      </c>
      <c r="H496" s="448"/>
      <c r="I496" s="163" t="s">
        <v>37</v>
      </c>
      <c r="J496" s="93">
        <v>8.8000000000000007</v>
      </c>
      <c r="K496" s="126">
        <v>0.10299999999999999</v>
      </c>
      <c r="L496" s="165">
        <v>14</v>
      </c>
      <c r="M496" s="448"/>
      <c r="N496" s="433"/>
      <c r="O496" s="448"/>
      <c r="P496" s="539"/>
    </row>
    <row r="497" spans="1:16" ht="19.5" x14ac:dyDescent="0.25">
      <c r="A497" s="128"/>
      <c r="B497" s="507" t="s">
        <v>22</v>
      </c>
      <c r="C497" s="507"/>
      <c r="D497" s="507"/>
      <c r="E497" s="507"/>
      <c r="F497" s="130">
        <f>F495+F496</f>
        <v>3.6030000000000002</v>
      </c>
      <c r="G497" s="245">
        <f>G495+G496</f>
        <v>3.6030000000000002</v>
      </c>
      <c r="H497" s="128"/>
      <c r="I497" s="128"/>
      <c r="J497" s="128"/>
      <c r="K497" s="245">
        <f>K495+K496</f>
        <v>0.33999999999999997</v>
      </c>
      <c r="L497" s="128"/>
      <c r="M497" s="128"/>
      <c r="N497" s="128"/>
      <c r="O497" s="128"/>
      <c r="P497" s="231"/>
    </row>
    <row r="498" spans="1:16" ht="61.9" customHeight="1" x14ac:dyDescent="0.25">
      <c r="A498" s="101">
        <v>198</v>
      </c>
      <c r="B498" s="120" t="s">
        <v>1751</v>
      </c>
      <c r="C498" s="120" t="s">
        <v>1454</v>
      </c>
      <c r="D498" s="120" t="s">
        <v>1455</v>
      </c>
      <c r="E498" s="107" t="s">
        <v>1460</v>
      </c>
      <c r="F498" s="127">
        <v>10.0267</v>
      </c>
      <c r="G498" s="126">
        <v>10.0267</v>
      </c>
      <c r="H498" s="101" t="s">
        <v>524</v>
      </c>
      <c r="I498" s="87" t="s">
        <v>456</v>
      </c>
      <c r="J498" s="93">
        <v>35697</v>
      </c>
      <c r="K498" s="126">
        <v>1.0052000000000001</v>
      </c>
      <c r="L498" s="128">
        <v>10</v>
      </c>
      <c r="M498" s="128" t="s">
        <v>442</v>
      </c>
      <c r="N498" s="101" t="s">
        <v>21</v>
      </c>
      <c r="O498" s="128">
        <v>2022</v>
      </c>
      <c r="P498" s="231" t="s">
        <v>442</v>
      </c>
    </row>
    <row r="499" spans="1:16" ht="15.75" customHeight="1" x14ac:dyDescent="0.25">
      <c r="A499" s="128"/>
      <c r="B499" s="507" t="s">
        <v>22</v>
      </c>
      <c r="C499" s="507"/>
      <c r="D499" s="507"/>
      <c r="E499" s="507"/>
      <c r="F499" s="130">
        <f>F498</f>
        <v>10.0267</v>
      </c>
      <c r="G499" s="245">
        <f>G498</f>
        <v>10.0267</v>
      </c>
      <c r="H499" s="128"/>
      <c r="I499" s="128"/>
      <c r="J499" s="128"/>
      <c r="K499" s="245">
        <f>K498</f>
        <v>1.0052000000000001</v>
      </c>
      <c r="L499" s="128"/>
      <c r="M499" s="128"/>
      <c r="N499" s="128"/>
      <c r="O499" s="128"/>
      <c r="P499" s="231"/>
    </row>
    <row r="500" spans="1:16" ht="43.35" customHeight="1" x14ac:dyDescent="0.25">
      <c r="A500" s="101">
        <v>199</v>
      </c>
      <c r="B500" s="120" t="s">
        <v>1457</v>
      </c>
      <c r="C500" s="120" t="s">
        <v>1527</v>
      </c>
      <c r="D500" s="120" t="s">
        <v>1455</v>
      </c>
      <c r="E500" s="107" t="s">
        <v>1460</v>
      </c>
      <c r="F500" s="127">
        <v>12.7018</v>
      </c>
      <c r="G500" s="126">
        <v>12.7018</v>
      </c>
      <c r="H500" s="101" t="s">
        <v>524</v>
      </c>
      <c r="I500" s="87" t="s">
        <v>456</v>
      </c>
      <c r="J500" s="93">
        <v>34217</v>
      </c>
      <c r="K500" s="126">
        <v>0.73019999999999996</v>
      </c>
      <c r="L500" s="128">
        <v>17.399999999999999</v>
      </c>
      <c r="M500" s="128" t="s">
        <v>442</v>
      </c>
      <c r="N500" s="101" t="s">
        <v>21</v>
      </c>
      <c r="O500" s="128">
        <v>2022</v>
      </c>
      <c r="P500" s="231" t="s">
        <v>442</v>
      </c>
    </row>
    <row r="501" spans="1:16" ht="19.5" x14ac:dyDescent="0.25">
      <c r="A501" s="128"/>
      <c r="B501" s="507" t="s">
        <v>22</v>
      </c>
      <c r="C501" s="507"/>
      <c r="D501" s="507"/>
      <c r="E501" s="507"/>
      <c r="F501" s="130">
        <f>F500</f>
        <v>12.7018</v>
      </c>
      <c r="G501" s="245">
        <f>G500</f>
        <v>12.7018</v>
      </c>
      <c r="H501" s="128"/>
      <c r="I501" s="128"/>
      <c r="J501" s="128"/>
      <c r="K501" s="245">
        <f>K500</f>
        <v>0.73019999999999996</v>
      </c>
      <c r="L501" s="128"/>
      <c r="M501" s="128"/>
      <c r="N501" s="128"/>
      <c r="O501" s="128"/>
      <c r="P501" s="231"/>
    </row>
    <row r="502" spans="1:16" ht="46.5" customHeight="1" x14ac:dyDescent="0.25">
      <c r="A502" s="101">
        <v>200</v>
      </c>
      <c r="B502" s="120" t="s">
        <v>1752</v>
      </c>
      <c r="C502" s="120" t="s">
        <v>1458</v>
      </c>
      <c r="D502" s="120" t="s">
        <v>1459</v>
      </c>
      <c r="E502" s="107" t="s">
        <v>522</v>
      </c>
      <c r="F502" s="127">
        <v>0.14599999999999999</v>
      </c>
      <c r="G502" s="126">
        <v>0.14599999999999999</v>
      </c>
      <c r="H502" s="101" t="s">
        <v>524</v>
      </c>
      <c r="I502" s="87" t="s">
        <v>456</v>
      </c>
      <c r="J502" s="93">
        <v>9400</v>
      </c>
      <c r="K502" s="126">
        <v>0.223</v>
      </c>
      <c r="L502" s="128">
        <v>0.6</v>
      </c>
      <c r="M502" s="128" t="s">
        <v>442</v>
      </c>
      <c r="N502" s="101" t="s">
        <v>21</v>
      </c>
      <c r="O502" s="128">
        <v>2022</v>
      </c>
      <c r="P502" s="231" t="s">
        <v>442</v>
      </c>
    </row>
    <row r="503" spans="1:16" ht="19.5" x14ac:dyDescent="0.25">
      <c r="A503" s="128"/>
      <c r="B503" s="507" t="s">
        <v>22</v>
      </c>
      <c r="C503" s="507"/>
      <c r="D503" s="507"/>
      <c r="E503" s="507"/>
      <c r="F503" s="130">
        <f>F502</f>
        <v>0.14599999999999999</v>
      </c>
      <c r="G503" s="245">
        <f>G502</f>
        <v>0.14599999999999999</v>
      </c>
      <c r="H503" s="128"/>
      <c r="I503" s="128"/>
      <c r="J503" s="128"/>
      <c r="K503" s="245">
        <f>K502</f>
        <v>0.223</v>
      </c>
      <c r="L503" s="128"/>
      <c r="M503" s="128"/>
      <c r="N503" s="128"/>
      <c r="O503" s="128"/>
      <c r="P503" s="231"/>
    </row>
    <row r="504" spans="1:16" ht="37.5" x14ac:dyDescent="0.25">
      <c r="A504" s="101">
        <v>201</v>
      </c>
      <c r="B504" s="120" t="s">
        <v>1643</v>
      </c>
      <c r="C504" s="120" t="s">
        <v>1582</v>
      </c>
      <c r="D504" s="120" t="s">
        <v>1455</v>
      </c>
      <c r="E504" s="107" t="s">
        <v>1461</v>
      </c>
      <c r="F504" s="127">
        <v>15.306100000000001</v>
      </c>
      <c r="G504" s="126">
        <v>15.306100000000001</v>
      </c>
      <c r="H504" s="101" t="s">
        <v>524</v>
      </c>
      <c r="I504" s="87" t="s">
        <v>456</v>
      </c>
      <c r="J504" s="93">
        <v>63893</v>
      </c>
      <c r="K504" s="126">
        <v>1.6836</v>
      </c>
      <c r="L504" s="128">
        <v>9</v>
      </c>
      <c r="M504" s="128" t="s">
        <v>454</v>
      </c>
      <c r="N504" s="101" t="s">
        <v>21</v>
      </c>
      <c r="O504" s="128">
        <v>2022</v>
      </c>
      <c r="P504" s="231" t="s">
        <v>454</v>
      </c>
    </row>
    <row r="505" spans="1:16" ht="19.5" x14ac:dyDescent="0.25">
      <c r="A505" s="128"/>
      <c r="B505" s="507" t="s">
        <v>22</v>
      </c>
      <c r="C505" s="507"/>
      <c r="D505" s="507"/>
      <c r="E505" s="507"/>
      <c r="F505" s="130">
        <f>F504</f>
        <v>15.306100000000001</v>
      </c>
      <c r="G505" s="245">
        <f>G504</f>
        <v>15.306100000000001</v>
      </c>
      <c r="H505" s="128"/>
      <c r="I505" s="128"/>
      <c r="J505" s="128"/>
      <c r="K505" s="245">
        <f>K504</f>
        <v>1.6836</v>
      </c>
      <c r="L505" s="128"/>
      <c r="M505" s="128"/>
      <c r="N505" s="128"/>
      <c r="O505" s="128"/>
      <c r="P505" s="231"/>
    </row>
    <row r="506" spans="1:16" ht="37.5" x14ac:dyDescent="0.25">
      <c r="A506" s="101">
        <v>202</v>
      </c>
      <c r="B506" s="120" t="s">
        <v>1643</v>
      </c>
      <c r="C506" s="120" t="s">
        <v>1581</v>
      </c>
      <c r="D506" s="120" t="s">
        <v>1455</v>
      </c>
      <c r="E506" s="107" t="s">
        <v>1462</v>
      </c>
      <c r="F506" s="127">
        <v>12.426299999999999</v>
      </c>
      <c r="G506" s="126">
        <v>12.426299999999999</v>
      </c>
      <c r="H506" s="101" t="s">
        <v>524</v>
      </c>
      <c r="I506" s="87" t="s">
        <v>456</v>
      </c>
      <c r="J506" s="93">
        <v>39898</v>
      </c>
      <c r="K506" s="126">
        <v>1.6187</v>
      </c>
      <c r="L506" s="128">
        <v>7.7</v>
      </c>
      <c r="M506" s="128" t="s">
        <v>454</v>
      </c>
      <c r="N506" s="101" t="s">
        <v>21</v>
      </c>
      <c r="O506" s="128">
        <v>2022</v>
      </c>
      <c r="P506" s="231" t="s">
        <v>454</v>
      </c>
    </row>
    <row r="507" spans="1:16" ht="19.5" x14ac:dyDescent="0.25">
      <c r="A507" s="128"/>
      <c r="B507" s="507" t="s">
        <v>22</v>
      </c>
      <c r="C507" s="507"/>
      <c r="D507" s="507"/>
      <c r="E507" s="507"/>
      <c r="F507" s="130">
        <f>F506</f>
        <v>12.426299999999999</v>
      </c>
      <c r="G507" s="245">
        <f>G506</f>
        <v>12.426299999999999</v>
      </c>
      <c r="H507" s="128"/>
      <c r="I507" s="128"/>
      <c r="J507" s="128"/>
      <c r="K507" s="245">
        <f>K506</f>
        <v>1.6187</v>
      </c>
      <c r="L507" s="128"/>
      <c r="M507" s="128"/>
      <c r="N507" s="128"/>
      <c r="O507" s="128"/>
      <c r="P507" s="231"/>
    </row>
    <row r="508" spans="1:16" x14ac:dyDescent="0.25">
      <c r="A508" s="449">
        <v>203</v>
      </c>
      <c r="B508" s="505" t="s">
        <v>1644</v>
      </c>
      <c r="C508" s="505" t="s">
        <v>1578</v>
      </c>
      <c r="D508" s="190" t="s">
        <v>1455</v>
      </c>
      <c r="E508" s="447" t="s">
        <v>1460</v>
      </c>
      <c r="F508" s="127">
        <v>0.58660000000000001</v>
      </c>
      <c r="G508" s="126">
        <v>0.58660000000000001</v>
      </c>
      <c r="H508" s="447" t="s">
        <v>524</v>
      </c>
      <c r="I508" s="87" t="s">
        <v>1170</v>
      </c>
      <c r="J508" s="161">
        <v>12632</v>
      </c>
      <c r="K508" s="383">
        <v>0.32200000000000001</v>
      </c>
      <c r="L508" s="128">
        <v>2</v>
      </c>
      <c r="M508" s="447" t="s">
        <v>466</v>
      </c>
      <c r="N508" s="449" t="s">
        <v>21</v>
      </c>
      <c r="O508" s="447">
        <v>2022</v>
      </c>
      <c r="P508" s="538" t="s">
        <v>466</v>
      </c>
    </row>
    <row r="509" spans="1:16" ht="37.5" x14ac:dyDescent="0.25">
      <c r="A509" s="433"/>
      <c r="B509" s="506"/>
      <c r="C509" s="506"/>
      <c r="D509" s="190" t="s">
        <v>1463</v>
      </c>
      <c r="E509" s="448"/>
      <c r="F509" s="127">
        <v>5.694</v>
      </c>
      <c r="G509" s="126">
        <v>5.694</v>
      </c>
      <c r="H509" s="448"/>
      <c r="I509" s="163" t="s">
        <v>37</v>
      </c>
      <c r="J509" s="93">
        <v>41.59</v>
      </c>
      <c r="K509" s="126">
        <v>0.54200000000000004</v>
      </c>
      <c r="L509" s="165">
        <v>10</v>
      </c>
      <c r="M509" s="448"/>
      <c r="N509" s="433"/>
      <c r="O509" s="448"/>
      <c r="P509" s="539"/>
    </row>
    <row r="510" spans="1:16" ht="19.5" x14ac:dyDescent="0.25">
      <c r="A510" s="128"/>
      <c r="B510" s="507" t="s">
        <v>22</v>
      </c>
      <c r="C510" s="507"/>
      <c r="D510" s="507"/>
      <c r="E510" s="507"/>
      <c r="F510" s="130">
        <f>F508+F509</f>
        <v>6.2805999999999997</v>
      </c>
      <c r="G510" s="245">
        <f>G508+G509</f>
        <v>6.2805999999999997</v>
      </c>
      <c r="H510" s="128"/>
      <c r="I510" s="128"/>
      <c r="J510" s="128"/>
      <c r="K510" s="245">
        <f>K508+K509</f>
        <v>0.8640000000000001</v>
      </c>
      <c r="L510" s="128"/>
      <c r="M510" s="128"/>
      <c r="N510" s="128"/>
      <c r="O510" s="128"/>
      <c r="P510" s="231"/>
    </row>
    <row r="511" spans="1:16" ht="37.5" x14ac:dyDescent="0.25">
      <c r="A511" s="449">
        <v>204</v>
      </c>
      <c r="B511" s="505" t="s">
        <v>1645</v>
      </c>
      <c r="C511" s="505" t="s">
        <v>1579</v>
      </c>
      <c r="D511" s="190" t="s">
        <v>1464</v>
      </c>
      <c r="E511" s="447" t="s">
        <v>1462</v>
      </c>
      <c r="F511" s="127">
        <v>29.262799999999999</v>
      </c>
      <c r="G511" s="126">
        <v>29.262799999999999</v>
      </c>
      <c r="H511" s="447" t="s">
        <v>524</v>
      </c>
      <c r="I511" s="87" t="s">
        <v>1170</v>
      </c>
      <c r="J511" s="161">
        <v>118400</v>
      </c>
      <c r="K511" s="383">
        <v>1.9092</v>
      </c>
      <c r="L511" s="128">
        <v>15.3</v>
      </c>
      <c r="M511" s="447" t="s">
        <v>438</v>
      </c>
      <c r="N511" s="449" t="s">
        <v>21</v>
      </c>
      <c r="O511" s="447">
        <v>2022</v>
      </c>
      <c r="P511" s="538" t="s">
        <v>438</v>
      </c>
    </row>
    <row r="512" spans="1:16" x14ac:dyDescent="0.25">
      <c r="A512" s="433"/>
      <c r="B512" s="506"/>
      <c r="C512" s="506"/>
      <c r="D512" s="190" t="s">
        <v>1465</v>
      </c>
      <c r="E512" s="448"/>
      <c r="F512" s="127">
        <v>4.8499999999999996</v>
      </c>
      <c r="G512" s="126">
        <v>4.8499999999999996</v>
      </c>
      <c r="H512" s="448"/>
      <c r="I512" s="163" t="s">
        <v>37</v>
      </c>
      <c r="J512" s="93">
        <v>105.9</v>
      </c>
      <c r="K512" s="126">
        <v>0.79020000000000001</v>
      </c>
      <c r="L512" s="165">
        <v>6.1</v>
      </c>
      <c r="M512" s="448"/>
      <c r="N512" s="433"/>
      <c r="O512" s="448"/>
      <c r="P512" s="539"/>
    </row>
    <row r="513" spans="1:16" ht="19.5" x14ac:dyDescent="0.25">
      <c r="A513" s="128"/>
      <c r="B513" s="507" t="s">
        <v>22</v>
      </c>
      <c r="C513" s="507"/>
      <c r="D513" s="507"/>
      <c r="E513" s="507"/>
      <c r="F513" s="130">
        <f>F511+F512</f>
        <v>34.1128</v>
      </c>
      <c r="G513" s="245">
        <f>G511+G512</f>
        <v>34.1128</v>
      </c>
      <c r="H513" s="128"/>
      <c r="I513" s="128"/>
      <c r="J513" s="128"/>
      <c r="K513" s="245">
        <f>K511+K512</f>
        <v>2.6993999999999998</v>
      </c>
      <c r="L513" s="128"/>
      <c r="M513" s="128"/>
      <c r="N513" s="128"/>
      <c r="O513" s="128"/>
      <c r="P513" s="231"/>
    </row>
    <row r="514" spans="1:16" ht="56.25" x14ac:dyDescent="0.25">
      <c r="A514" s="101">
        <v>205</v>
      </c>
      <c r="B514" s="120" t="s">
        <v>1646</v>
      </c>
      <c r="C514" s="120" t="s">
        <v>1576</v>
      </c>
      <c r="D514" s="120" t="s">
        <v>1464</v>
      </c>
      <c r="E514" s="107" t="s">
        <v>1466</v>
      </c>
      <c r="F514" s="127">
        <v>7.1849999999999996</v>
      </c>
      <c r="G514" s="126">
        <v>7.1849999999999996</v>
      </c>
      <c r="H514" s="101" t="s">
        <v>524</v>
      </c>
      <c r="I514" s="87" t="s">
        <v>1170</v>
      </c>
      <c r="J514" s="93">
        <v>17730</v>
      </c>
      <c r="K514" s="126">
        <v>0.39679999999999999</v>
      </c>
      <c r="L514" s="128">
        <v>18.100000000000001</v>
      </c>
      <c r="M514" s="128" t="s">
        <v>438</v>
      </c>
      <c r="N514" s="101" t="s">
        <v>21</v>
      </c>
      <c r="O514" s="128">
        <v>2022</v>
      </c>
      <c r="P514" s="231" t="s">
        <v>438</v>
      </c>
    </row>
    <row r="515" spans="1:16" ht="19.5" x14ac:dyDescent="0.25">
      <c r="A515" s="128"/>
      <c r="B515" s="507" t="s">
        <v>22</v>
      </c>
      <c r="C515" s="507"/>
      <c r="D515" s="507"/>
      <c r="E515" s="507"/>
      <c r="F515" s="130">
        <f>F514</f>
        <v>7.1849999999999996</v>
      </c>
      <c r="G515" s="245">
        <f>G514</f>
        <v>7.1849999999999996</v>
      </c>
      <c r="H515" s="128"/>
      <c r="I515" s="128"/>
      <c r="J515" s="128"/>
      <c r="K515" s="245">
        <f>K514</f>
        <v>0.39679999999999999</v>
      </c>
      <c r="L515" s="128"/>
      <c r="M515" s="128"/>
      <c r="N515" s="128"/>
      <c r="O515" s="128"/>
      <c r="P515" s="231"/>
    </row>
    <row r="516" spans="1:16" ht="37.5" x14ac:dyDescent="0.25">
      <c r="A516" s="101">
        <v>206</v>
      </c>
      <c r="B516" s="120" t="s">
        <v>1647</v>
      </c>
      <c r="C516" s="120" t="s">
        <v>1577</v>
      </c>
      <c r="D516" s="120" t="s">
        <v>1464</v>
      </c>
      <c r="E516" s="107" t="s">
        <v>522</v>
      </c>
      <c r="F516" s="127">
        <v>4.0724999999999998</v>
      </c>
      <c r="G516" s="126">
        <v>4.0724999999999998</v>
      </c>
      <c r="H516" s="101" t="s">
        <v>524</v>
      </c>
      <c r="I516" s="87" t="s">
        <v>1170</v>
      </c>
      <c r="J516" s="93">
        <v>68280</v>
      </c>
      <c r="K516" s="126">
        <v>1.0037</v>
      </c>
      <c r="L516" s="128">
        <v>4</v>
      </c>
      <c r="M516" s="128" t="s">
        <v>438</v>
      </c>
      <c r="N516" s="101" t="s">
        <v>21</v>
      </c>
      <c r="O516" s="128">
        <v>2022</v>
      </c>
      <c r="P516" s="231" t="s">
        <v>438</v>
      </c>
    </row>
    <row r="517" spans="1:16" ht="19.5" x14ac:dyDescent="0.25">
      <c r="A517" s="128"/>
      <c r="B517" s="507" t="s">
        <v>22</v>
      </c>
      <c r="C517" s="507"/>
      <c r="D517" s="507"/>
      <c r="E517" s="507"/>
      <c r="F517" s="130">
        <f>F516</f>
        <v>4.0724999999999998</v>
      </c>
      <c r="G517" s="245">
        <f>G516</f>
        <v>4.0724999999999998</v>
      </c>
      <c r="H517" s="128"/>
      <c r="I517" s="128"/>
      <c r="J517" s="128"/>
      <c r="K517" s="245">
        <f>K516</f>
        <v>1.0037</v>
      </c>
      <c r="L517" s="128"/>
      <c r="M517" s="128"/>
      <c r="N517" s="128"/>
      <c r="O517" s="128"/>
      <c r="P517" s="231"/>
    </row>
    <row r="518" spans="1:16" x14ac:dyDescent="0.25">
      <c r="A518" s="449">
        <v>207</v>
      </c>
      <c r="B518" s="505" t="s">
        <v>1648</v>
      </c>
      <c r="C518" s="505" t="s">
        <v>1580</v>
      </c>
      <c r="D518" s="190" t="s">
        <v>92</v>
      </c>
      <c r="E518" s="447" t="s">
        <v>1462</v>
      </c>
      <c r="F518" s="127">
        <v>23.368300000000001</v>
      </c>
      <c r="G518" s="126">
        <v>23.368300000000001</v>
      </c>
      <c r="H518" s="447" t="s">
        <v>524</v>
      </c>
      <c r="I518" s="87" t="s">
        <v>1170</v>
      </c>
      <c r="J518" s="161">
        <v>57700</v>
      </c>
      <c r="K518" s="383">
        <v>1.0025999999999999</v>
      </c>
      <c r="L518" s="128">
        <v>23.3</v>
      </c>
      <c r="M518" s="447" t="s">
        <v>499</v>
      </c>
      <c r="N518" s="449" t="s">
        <v>21</v>
      </c>
      <c r="O518" s="447">
        <v>2022</v>
      </c>
      <c r="P518" s="538" t="s">
        <v>499</v>
      </c>
    </row>
    <row r="519" spans="1:16" x14ac:dyDescent="0.25">
      <c r="A519" s="433"/>
      <c r="B519" s="506"/>
      <c r="C519" s="506"/>
      <c r="D519" s="190" t="s">
        <v>1465</v>
      </c>
      <c r="E519" s="448"/>
      <c r="F519" s="127">
        <v>5.4249999999999998</v>
      </c>
      <c r="G519" s="126">
        <v>5.4249999999999998</v>
      </c>
      <c r="H519" s="448"/>
      <c r="I519" s="163" t="s">
        <v>37</v>
      </c>
      <c r="J519" s="93">
        <v>162.69999999999999</v>
      </c>
      <c r="K519" s="126">
        <v>0.84919999999999995</v>
      </c>
      <c r="L519" s="165">
        <v>6.4</v>
      </c>
      <c r="M519" s="448"/>
      <c r="N519" s="433"/>
      <c r="O519" s="448"/>
      <c r="P519" s="539"/>
    </row>
    <row r="520" spans="1:16" ht="19.5" x14ac:dyDescent="0.25">
      <c r="A520" s="128"/>
      <c r="B520" s="507" t="s">
        <v>22</v>
      </c>
      <c r="C520" s="507"/>
      <c r="D520" s="507"/>
      <c r="E520" s="507"/>
      <c r="F520" s="130">
        <f>F518+F519</f>
        <v>28.793300000000002</v>
      </c>
      <c r="G520" s="245">
        <f>G518+G519</f>
        <v>28.793300000000002</v>
      </c>
      <c r="H520" s="128"/>
      <c r="I520" s="128"/>
      <c r="J520" s="128"/>
      <c r="K520" s="245">
        <f>K518+K519</f>
        <v>1.8517999999999999</v>
      </c>
      <c r="L520" s="128"/>
      <c r="M520" s="128"/>
      <c r="N520" s="128"/>
      <c r="O520" s="128"/>
      <c r="P520" s="231"/>
    </row>
    <row r="521" spans="1:16" ht="37.5" x14ac:dyDescent="0.25">
      <c r="A521" s="101">
        <v>208</v>
      </c>
      <c r="B521" s="120" t="s">
        <v>1648</v>
      </c>
      <c r="C521" s="120" t="s">
        <v>1575</v>
      </c>
      <c r="D521" s="120" t="s">
        <v>92</v>
      </c>
      <c r="E521" s="107" t="s">
        <v>1514</v>
      </c>
      <c r="F521" s="127">
        <v>10.126300000000001</v>
      </c>
      <c r="G521" s="126">
        <v>10.126300000000001</v>
      </c>
      <c r="H521" s="101" t="s">
        <v>524</v>
      </c>
      <c r="I521" s="87" t="s">
        <v>1170</v>
      </c>
      <c r="J521" s="93">
        <v>39025</v>
      </c>
      <c r="K521" s="126">
        <v>0.61280000000000001</v>
      </c>
      <c r="L521" s="128">
        <v>16.5</v>
      </c>
      <c r="M521" s="128" t="s">
        <v>499</v>
      </c>
      <c r="N521" s="101" t="s">
        <v>21</v>
      </c>
      <c r="O521" s="128">
        <v>2022</v>
      </c>
      <c r="P521" s="231" t="s">
        <v>499</v>
      </c>
    </row>
    <row r="522" spans="1:16" ht="19.5" x14ac:dyDescent="0.25">
      <c r="A522" s="128"/>
      <c r="B522" s="507" t="s">
        <v>22</v>
      </c>
      <c r="C522" s="507"/>
      <c r="D522" s="507"/>
      <c r="E522" s="507"/>
      <c r="F522" s="130">
        <f>F521</f>
        <v>10.126300000000001</v>
      </c>
      <c r="G522" s="245">
        <f>G521</f>
        <v>10.126300000000001</v>
      </c>
      <c r="H522" s="128"/>
      <c r="I522" s="128"/>
      <c r="J522" s="128"/>
      <c r="K522" s="245">
        <f>K521</f>
        <v>0.61280000000000001</v>
      </c>
      <c r="L522" s="128"/>
      <c r="M522" s="128"/>
      <c r="N522" s="128"/>
      <c r="O522" s="128"/>
      <c r="P522" s="231"/>
    </row>
    <row r="523" spans="1:16" x14ac:dyDescent="0.25">
      <c r="A523" s="449">
        <v>209</v>
      </c>
      <c r="B523" s="505" t="s">
        <v>1649</v>
      </c>
      <c r="C523" s="505" t="s">
        <v>1573</v>
      </c>
      <c r="D523" s="120" t="s">
        <v>1526</v>
      </c>
      <c r="E523" s="516" t="s">
        <v>1462</v>
      </c>
      <c r="F523" s="127">
        <v>1.1268</v>
      </c>
      <c r="G523" s="126">
        <v>1.1268</v>
      </c>
      <c r="H523" s="449" t="s">
        <v>524</v>
      </c>
      <c r="I523" s="87" t="s">
        <v>1170</v>
      </c>
      <c r="J523" s="93">
        <v>5027</v>
      </c>
      <c r="K523" s="126">
        <v>0.11609999999999999</v>
      </c>
      <c r="L523" s="128">
        <v>9.6999999999999993</v>
      </c>
      <c r="M523" s="447" t="s">
        <v>438</v>
      </c>
      <c r="N523" s="449" t="s">
        <v>21</v>
      </c>
      <c r="O523" s="447">
        <v>2022</v>
      </c>
      <c r="P523" s="538" t="s">
        <v>438</v>
      </c>
    </row>
    <row r="524" spans="1:16" ht="19.5" customHeight="1" x14ac:dyDescent="0.25">
      <c r="A524" s="433"/>
      <c r="B524" s="506"/>
      <c r="C524" s="506"/>
      <c r="D524" s="167" t="s">
        <v>1525</v>
      </c>
      <c r="E524" s="517"/>
      <c r="F524" s="127">
        <v>5.25</v>
      </c>
      <c r="G524" s="126">
        <v>5.25</v>
      </c>
      <c r="H524" s="433"/>
      <c r="I524" s="128" t="s">
        <v>1522</v>
      </c>
      <c r="J524" s="128" t="s">
        <v>1523</v>
      </c>
      <c r="K524" s="126">
        <v>0.95679999999999998</v>
      </c>
      <c r="L524" s="128">
        <v>5.5</v>
      </c>
      <c r="M524" s="448"/>
      <c r="N524" s="433"/>
      <c r="O524" s="448"/>
      <c r="P524" s="539"/>
    </row>
    <row r="525" spans="1:16" ht="19.5" x14ac:dyDescent="0.25">
      <c r="A525" s="128"/>
      <c r="B525" s="507" t="s">
        <v>22</v>
      </c>
      <c r="C525" s="507"/>
      <c r="D525" s="507"/>
      <c r="E525" s="507"/>
      <c r="F525" s="130">
        <f>F523+F524</f>
        <v>6.3768000000000002</v>
      </c>
      <c r="G525" s="245">
        <f>G523+G524</f>
        <v>6.3768000000000002</v>
      </c>
      <c r="H525" s="128"/>
      <c r="I525" s="128"/>
      <c r="J525" s="128"/>
      <c r="K525" s="245">
        <f>K523+K524</f>
        <v>1.0729</v>
      </c>
      <c r="L525" s="128"/>
      <c r="M525" s="128"/>
      <c r="N525" s="128"/>
      <c r="O525" s="128"/>
      <c r="P525" s="231"/>
    </row>
    <row r="526" spans="1:16" ht="37.5" x14ac:dyDescent="0.25">
      <c r="A526" s="342">
        <v>210</v>
      </c>
      <c r="B526" s="120" t="s">
        <v>1650</v>
      </c>
      <c r="C526" s="120" t="s">
        <v>1574</v>
      </c>
      <c r="D526" s="120" t="s">
        <v>92</v>
      </c>
      <c r="E526" s="128" t="s">
        <v>1462</v>
      </c>
      <c r="F526" s="127">
        <v>1.9372</v>
      </c>
      <c r="G526" s="126">
        <v>1.9372</v>
      </c>
      <c r="H526" s="101" t="s">
        <v>524</v>
      </c>
      <c r="I526" s="87" t="s">
        <v>1170</v>
      </c>
      <c r="J526" s="93">
        <v>15063</v>
      </c>
      <c r="K526" s="126">
        <v>0.31180400000000003</v>
      </c>
      <c r="L526" s="128">
        <v>1.6</v>
      </c>
      <c r="M526" s="128" t="s">
        <v>492</v>
      </c>
      <c r="N526" s="101" t="s">
        <v>21</v>
      </c>
      <c r="O526" s="128">
        <v>2022</v>
      </c>
      <c r="P526" s="231" t="s">
        <v>492</v>
      </c>
    </row>
    <row r="527" spans="1:16" ht="19.5" x14ac:dyDescent="0.25">
      <c r="A527" s="128"/>
      <c r="B527" s="507" t="s">
        <v>22</v>
      </c>
      <c r="C527" s="507"/>
      <c r="D527" s="507"/>
      <c r="E527" s="507"/>
      <c r="F527" s="130">
        <f>F526</f>
        <v>1.9372</v>
      </c>
      <c r="G527" s="245">
        <f>G526</f>
        <v>1.9372</v>
      </c>
      <c r="H527" s="128"/>
      <c r="I527" s="128"/>
      <c r="J527" s="128"/>
      <c r="K527" s="245">
        <f>K526</f>
        <v>0.31180400000000003</v>
      </c>
      <c r="L527" s="128"/>
      <c r="M527" s="128"/>
      <c r="N527" s="128"/>
      <c r="O527" s="128"/>
      <c r="P527" s="231"/>
    </row>
    <row r="528" spans="1:16" ht="56.25" x14ac:dyDescent="0.25">
      <c r="A528" s="342">
        <v>211</v>
      </c>
      <c r="B528" s="120" t="s">
        <v>1651</v>
      </c>
      <c r="C528" s="120" t="s">
        <v>1572</v>
      </c>
      <c r="D528" s="120" t="s">
        <v>92</v>
      </c>
      <c r="E528" s="128" t="s">
        <v>1462</v>
      </c>
      <c r="F528" s="127">
        <v>1.4684999999999999</v>
      </c>
      <c r="G528" s="126">
        <v>1.4684999999999999</v>
      </c>
      <c r="H528" s="101" t="s">
        <v>524</v>
      </c>
      <c r="I528" s="87" t="s">
        <v>1170</v>
      </c>
      <c r="J528" s="93">
        <v>14087</v>
      </c>
      <c r="K528" s="126">
        <v>0.29160000000000003</v>
      </c>
      <c r="L528" s="128">
        <v>2</v>
      </c>
      <c r="M528" s="128" t="s">
        <v>492</v>
      </c>
      <c r="N528" s="101" t="s">
        <v>21</v>
      </c>
      <c r="O528" s="128">
        <v>2022</v>
      </c>
      <c r="P528" s="231" t="s">
        <v>492</v>
      </c>
    </row>
    <row r="529" spans="1:16" ht="19.5" x14ac:dyDescent="0.25">
      <c r="A529" s="128"/>
      <c r="B529" s="507" t="s">
        <v>22</v>
      </c>
      <c r="C529" s="507"/>
      <c r="D529" s="507"/>
      <c r="E529" s="507"/>
      <c r="F529" s="130">
        <f>F528</f>
        <v>1.4684999999999999</v>
      </c>
      <c r="G529" s="245">
        <f>G528</f>
        <v>1.4684999999999999</v>
      </c>
      <c r="H529" s="128"/>
      <c r="I529" s="128"/>
      <c r="J529" s="128"/>
      <c r="K529" s="245">
        <f>K528</f>
        <v>0.29160000000000003</v>
      </c>
      <c r="L529" s="128"/>
      <c r="M529" s="128"/>
      <c r="N529" s="128"/>
      <c r="O529" s="128"/>
      <c r="P529" s="231"/>
    </row>
    <row r="530" spans="1:16" ht="37.5" x14ac:dyDescent="0.25">
      <c r="A530" s="342">
        <v>212</v>
      </c>
      <c r="B530" s="120" t="s">
        <v>1652</v>
      </c>
      <c r="C530" s="120" t="s">
        <v>1571</v>
      </c>
      <c r="D530" s="120" t="s">
        <v>92</v>
      </c>
      <c r="E530" s="128" t="s">
        <v>1462</v>
      </c>
      <c r="F530" s="127">
        <v>1.5992</v>
      </c>
      <c r="G530" s="126">
        <v>1.5992</v>
      </c>
      <c r="H530" s="101" t="s">
        <v>524</v>
      </c>
      <c r="I530" s="87" t="s">
        <v>1170</v>
      </c>
      <c r="J530" s="93">
        <v>29662</v>
      </c>
      <c r="K530" s="126">
        <v>0.61400299999999997</v>
      </c>
      <c r="L530" s="128">
        <v>3.8</v>
      </c>
      <c r="M530" s="128" t="s">
        <v>492</v>
      </c>
      <c r="N530" s="101" t="s">
        <v>21</v>
      </c>
      <c r="O530" s="128">
        <v>2022</v>
      </c>
      <c r="P530" s="231" t="s">
        <v>492</v>
      </c>
    </row>
    <row r="531" spans="1:16" ht="19.5" x14ac:dyDescent="0.25">
      <c r="A531" s="128"/>
      <c r="B531" s="507" t="s">
        <v>22</v>
      </c>
      <c r="C531" s="507"/>
      <c r="D531" s="507"/>
      <c r="E531" s="507"/>
      <c r="F531" s="130">
        <f>F530</f>
        <v>1.5992</v>
      </c>
      <c r="G531" s="245">
        <f>G530</f>
        <v>1.5992</v>
      </c>
      <c r="H531" s="128"/>
      <c r="I531" s="128"/>
      <c r="J531" s="128"/>
      <c r="K531" s="245">
        <f>K530</f>
        <v>0.61400299999999997</v>
      </c>
      <c r="L531" s="128"/>
      <c r="M531" s="128"/>
      <c r="N531" s="128"/>
      <c r="O531" s="128"/>
      <c r="P531" s="231"/>
    </row>
    <row r="532" spans="1:16" ht="62.1" customHeight="1" x14ac:dyDescent="0.25">
      <c r="A532" s="342">
        <v>213</v>
      </c>
      <c r="B532" s="120" t="s">
        <v>1653</v>
      </c>
      <c r="C532" s="120" t="s">
        <v>1569</v>
      </c>
      <c r="D532" s="120" t="s">
        <v>1570</v>
      </c>
      <c r="E532" s="101" t="s">
        <v>1524</v>
      </c>
      <c r="F532" s="127">
        <v>54.02</v>
      </c>
      <c r="G532" s="126">
        <v>54.02</v>
      </c>
      <c r="H532" s="101" t="s">
        <v>524</v>
      </c>
      <c r="I532" s="87" t="s">
        <v>1170</v>
      </c>
      <c r="J532" s="93">
        <v>551019</v>
      </c>
      <c r="K532" s="126">
        <v>9.6648700000000005</v>
      </c>
      <c r="L532" s="128">
        <v>5.6</v>
      </c>
      <c r="M532" s="128" t="s">
        <v>1068</v>
      </c>
      <c r="N532" s="101" t="s">
        <v>21</v>
      </c>
      <c r="O532" s="128">
        <v>2022</v>
      </c>
      <c r="P532" s="231" t="s">
        <v>1068</v>
      </c>
    </row>
    <row r="533" spans="1:16" ht="19.5" x14ac:dyDescent="0.25">
      <c r="A533" s="128"/>
      <c r="B533" s="507" t="s">
        <v>22</v>
      </c>
      <c r="C533" s="507"/>
      <c r="D533" s="507"/>
      <c r="E533" s="507"/>
      <c r="F533" s="130">
        <f>F532</f>
        <v>54.02</v>
      </c>
      <c r="G533" s="245">
        <f>G532</f>
        <v>54.02</v>
      </c>
      <c r="H533" s="128"/>
      <c r="I533" s="128"/>
      <c r="J533" s="128"/>
      <c r="K533" s="245">
        <f>K532</f>
        <v>9.6648700000000005</v>
      </c>
      <c r="L533" s="128"/>
      <c r="M533" s="128"/>
      <c r="N533" s="128"/>
      <c r="O533" s="128"/>
      <c r="P533" s="231"/>
    </row>
    <row r="534" spans="1:16" s="227" customFormat="1" ht="20.25" x14ac:dyDescent="0.25">
      <c r="A534" s="159"/>
      <c r="B534" s="220" t="s">
        <v>1293</v>
      </c>
      <c r="C534" s="509"/>
      <c r="D534" s="510"/>
      <c r="E534" s="159"/>
      <c r="F534" s="384">
        <f>F464+F466+F468+F470+F472+F474+F476+F478+F480+F482+F484+F486+F488+F490+F494+F497+F499+F501+F503+F505+F507+F510+F513+F515+F517+F520+F522+F525+F527+F529+F531+F533</f>
        <v>425.01418000000001</v>
      </c>
      <c r="G534" s="306">
        <f>G464+G466+G468+G470+G472+G474+G476+G478+G480+G482+G484+G486+G488+G490+G494+G497+G499+G501+G503+G505+G507+G510+G513+G515+G517+G520+G522+G525+G527+G529+G531+G533</f>
        <v>425.01418000000001</v>
      </c>
      <c r="H534" s="159"/>
      <c r="I534" s="157"/>
      <c r="J534" s="157"/>
      <c r="K534" s="306">
        <f>K464+K466+K468+K470+K472+K474+K476+K478+K480+K482+K484+K486+K488+K490+K494+K497+K499+K501+K503+K505+K507+K510+K513+K515+K517+K520+K522+K525+K527+K529+K531+K533</f>
        <v>67.245023000000003</v>
      </c>
      <c r="L534" s="159"/>
      <c r="M534" s="159"/>
      <c r="N534" s="159"/>
      <c r="O534" s="159"/>
      <c r="P534" s="224"/>
    </row>
    <row r="535" spans="1:16" x14ac:dyDescent="0.25">
      <c r="A535" s="447">
        <v>214</v>
      </c>
      <c r="B535" s="511" t="s">
        <v>1658</v>
      </c>
      <c r="C535" s="512" t="s">
        <v>1659</v>
      </c>
      <c r="D535" s="234" t="s">
        <v>1660</v>
      </c>
      <c r="E535" s="447" t="s">
        <v>1658</v>
      </c>
      <c r="F535" s="304">
        <v>32.6</v>
      </c>
      <c r="G535" s="316">
        <v>32.6</v>
      </c>
      <c r="H535" s="447" t="s">
        <v>1112</v>
      </c>
      <c r="I535" s="385" t="s">
        <v>1170</v>
      </c>
      <c r="J535" s="304">
        <v>371825</v>
      </c>
      <c r="K535" s="316">
        <v>9.1059999999999999</v>
      </c>
      <c r="L535" s="304">
        <v>3.6</v>
      </c>
      <c r="M535" s="447" t="s">
        <v>492</v>
      </c>
      <c r="N535" s="447" t="s">
        <v>312</v>
      </c>
      <c r="O535" s="447"/>
      <c r="P535" s="538" t="s">
        <v>492</v>
      </c>
    </row>
    <row r="536" spans="1:16" x14ac:dyDescent="0.25">
      <c r="A536" s="491"/>
      <c r="B536" s="511"/>
      <c r="C536" s="512"/>
      <c r="D536" s="235" t="s">
        <v>1662</v>
      </c>
      <c r="E536" s="491"/>
      <c r="F536" s="304">
        <v>20.2</v>
      </c>
      <c r="G536" s="316">
        <v>20.2</v>
      </c>
      <c r="H536" s="491"/>
      <c r="I536" s="385" t="s">
        <v>1170</v>
      </c>
      <c r="J536" s="304">
        <v>360168</v>
      </c>
      <c r="K536" s="316">
        <v>8.84</v>
      </c>
      <c r="L536" s="330">
        <v>2.2999999999999998</v>
      </c>
      <c r="M536" s="491"/>
      <c r="N536" s="491"/>
      <c r="O536" s="491"/>
      <c r="P536" s="540"/>
    </row>
    <row r="537" spans="1:16" x14ac:dyDescent="0.25">
      <c r="A537" s="448"/>
      <c r="B537" s="511"/>
      <c r="C537" s="512"/>
      <c r="D537" s="235" t="s">
        <v>1663</v>
      </c>
      <c r="E537" s="448"/>
      <c r="F537" s="305">
        <v>18</v>
      </c>
      <c r="G537" s="316">
        <v>18</v>
      </c>
      <c r="H537" s="448"/>
      <c r="I537" s="386" t="s">
        <v>1170</v>
      </c>
      <c r="J537" s="304">
        <v>259697</v>
      </c>
      <c r="K537" s="316">
        <v>6.36</v>
      </c>
      <c r="L537" s="304">
        <v>2.8</v>
      </c>
      <c r="M537" s="448"/>
      <c r="N537" s="448"/>
      <c r="O537" s="448"/>
      <c r="P537" s="539"/>
    </row>
    <row r="538" spans="1:16" ht="22.9" customHeight="1" x14ac:dyDescent="0.25">
      <c r="A538" s="165"/>
      <c r="B538" s="236" t="s">
        <v>22</v>
      </c>
      <c r="C538" s="120"/>
      <c r="D538" s="176"/>
      <c r="E538" s="128"/>
      <c r="F538" s="387">
        <f>F535+F536+F537</f>
        <v>70.8</v>
      </c>
      <c r="G538" s="92">
        <f>G535+G536+G537</f>
        <v>70.8</v>
      </c>
      <c r="H538" s="128"/>
      <c r="I538" s="388"/>
      <c r="J538" s="304"/>
      <c r="K538" s="389">
        <f>K535+K536+K537</f>
        <v>24.305999999999997</v>
      </c>
      <c r="L538" s="304"/>
      <c r="M538" s="128"/>
      <c r="N538" s="128"/>
      <c r="O538" s="128"/>
      <c r="P538" s="231"/>
    </row>
    <row r="539" spans="1:16" x14ac:dyDescent="0.25">
      <c r="A539" s="128">
        <v>215</v>
      </c>
      <c r="B539" s="120" t="s">
        <v>1664</v>
      </c>
      <c r="C539" s="120" t="s">
        <v>1665</v>
      </c>
      <c r="D539" s="216" t="s">
        <v>1666</v>
      </c>
      <c r="E539" s="128" t="s">
        <v>1664</v>
      </c>
      <c r="F539" s="377">
        <v>5</v>
      </c>
      <c r="G539" s="316">
        <v>5</v>
      </c>
      <c r="H539" s="128" t="s">
        <v>1112</v>
      </c>
      <c r="I539" s="385" t="s">
        <v>1170</v>
      </c>
      <c r="J539" s="304">
        <v>75900</v>
      </c>
      <c r="K539" s="316">
        <v>1.163</v>
      </c>
      <c r="L539" s="304">
        <v>4.3</v>
      </c>
      <c r="M539" s="128" t="s">
        <v>1068</v>
      </c>
      <c r="N539" s="128" t="s">
        <v>312</v>
      </c>
      <c r="O539" s="128"/>
      <c r="P539" s="231" t="s">
        <v>1068</v>
      </c>
    </row>
    <row r="540" spans="1:16" ht="19.5" x14ac:dyDescent="0.25">
      <c r="A540" s="128"/>
      <c r="B540" s="237" t="s">
        <v>22</v>
      </c>
      <c r="C540" s="120"/>
      <c r="D540" s="216"/>
      <c r="E540" s="128"/>
      <c r="F540" s="390">
        <f>F539</f>
        <v>5</v>
      </c>
      <c r="G540" s="389">
        <f>G539</f>
        <v>5</v>
      </c>
      <c r="H540" s="128"/>
      <c r="I540" s="385"/>
      <c r="J540" s="304"/>
      <c r="K540" s="389">
        <f>K539</f>
        <v>1.163</v>
      </c>
      <c r="L540" s="304"/>
      <c r="M540" s="128"/>
      <c r="N540" s="128"/>
      <c r="O540" s="128"/>
      <c r="P540" s="231"/>
    </row>
    <row r="541" spans="1:16" ht="19.899999999999999" customHeight="1" x14ac:dyDescent="0.25">
      <c r="A541" s="128">
        <v>216</v>
      </c>
      <c r="B541" s="120" t="s">
        <v>1671</v>
      </c>
      <c r="C541" s="120" t="s">
        <v>1672</v>
      </c>
      <c r="D541" s="216" t="s">
        <v>1673</v>
      </c>
      <c r="E541" s="107" t="s">
        <v>1671</v>
      </c>
      <c r="F541" s="304">
        <v>65.92</v>
      </c>
      <c r="G541" s="316">
        <v>65.92</v>
      </c>
      <c r="H541" s="128" t="s">
        <v>1112</v>
      </c>
      <c r="I541" s="385" t="s">
        <v>1170</v>
      </c>
      <c r="J541" s="304">
        <v>238431</v>
      </c>
      <c r="K541" s="316">
        <v>6</v>
      </c>
      <c r="L541" s="304">
        <v>10.9</v>
      </c>
      <c r="M541" s="128" t="s">
        <v>492</v>
      </c>
      <c r="N541" s="128" t="s">
        <v>312</v>
      </c>
      <c r="O541" s="128"/>
      <c r="P541" s="231" t="s">
        <v>492</v>
      </c>
    </row>
    <row r="542" spans="1:16" ht="19.5" x14ac:dyDescent="0.25">
      <c r="A542" s="128"/>
      <c r="B542" s="238" t="s">
        <v>22</v>
      </c>
      <c r="C542" s="232"/>
      <c r="D542" s="216"/>
      <c r="E542" s="128"/>
      <c r="F542" s="391">
        <f>F541</f>
        <v>65.92</v>
      </c>
      <c r="G542" s="389">
        <f>G541</f>
        <v>65.92</v>
      </c>
      <c r="H542" s="128"/>
      <c r="I542" s="385"/>
      <c r="J542" s="304"/>
      <c r="K542" s="389">
        <f>K541</f>
        <v>6</v>
      </c>
      <c r="L542" s="304"/>
      <c r="M542" s="128"/>
      <c r="N542" s="128"/>
      <c r="O542" s="128"/>
      <c r="P542" s="231"/>
    </row>
    <row r="543" spans="1:16" x14ac:dyDescent="0.25">
      <c r="A543" s="447">
        <v>217</v>
      </c>
      <c r="B543" s="505" t="s">
        <v>1158</v>
      </c>
      <c r="C543" s="444" t="s">
        <v>1674</v>
      </c>
      <c r="D543" s="216" t="s">
        <v>1675</v>
      </c>
      <c r="E543" s="447" t="s">
        <v>1158</v>
      </c>
      <c r="F543" s="304">
        <v>26.1</v>
      </c>
      <c r="G543" s="316">
        <v>26.1</v>
      </c>
      <c r="H543" s="447" t="s">
        <v>1112</v>
      </c>
      <c r="I543" s="385" t="s">
        <v>1170</v>
      </c>
      <c r="J543" s="304">
        <v>284530</v>
      </c>
      <c r="K543" s="316">
        <v>6.07</v>
      </c>
      <c r="L543" s="304">
        <v>4.3</v>
      </c>
      <c r="M543" s="447" t="s">
        <v>517</v>
      </c>
      <c r="N543" s="447" t="s">
        <v>312</v>
      </c>
      <c r="O543" s="447"/>
      <c r="P543" s="538" t="s">
        <v>517</v>
      </c>
    </row>
    <row r="544" spans="1:16" ht="37.5" x14ac:dyDescent="0.25">
      <c r="A544" s="491"/>
      <c r="B544" s="511"/>
      <c r="C544" s="444"/>
      <c r="D544" s="216" t="s">
        <v>1677</v>
      </c>
      <c r="E544" s="491"/>
      <c r="F544" s="304">
        <v>18.739999999999998</v>
      </c>
      <c r="G544" s="316">
        <v>18.739999999999998</v>
      </c>
      <c r="H544" s="491"/>
      <c r="I544" s="385" t="s">
        <v>1170</v>
      </c>
      <c r="J544" s="304">
        <v>231469</v>
      </c>
      <c r="K544" s="316">
        <v>4.93</v>
      </c>
      <c r="L544" s="304">
        <v>3.8</v>
      </c>
      <c r="M544" s="491"/>
      <c r="N544" s="491"/>
      <c r="O544" s="491"/>
      <c r="P544" s="540"/>
    </row>
    <row r="545" spans="1:16" x14ac:dyDescent="0.25">
      <c r="A545" s="448"/>
      <c r="B545" s="511"/>
      <c r="C545" s="444"/>
      <c r="D545" s="216" t="s">
        <v>1678</v>
      </c>
      <c r="E545" s="448"/>
      <c r="F545" s="304">
        <v>22.46</v>
      </c>
      <c r="G545" s="316">
        <v>22.46</v>
      </c>
      <c r="H545" s="448"/>
      <c r="I545" s="385" t="s">
        <v>1170</v>
      </c>
      <c r="J545" s="304">
        <v>263600</v>
      </c>
      <c r="K545" s="316">
        <v>5.62</v>
      </c>
      <c r="L545" s="304">
        <v>4</v>
      </c>
      <c r="M545" s="448"/>
      <c r="N545" s="448"/>
      <c r="O545" s="491"/>
      <c r="P545" s="539"/>
    </row>
    <row r="546" spans="1:16" ht="17.100000000000001" customHeight="1" x14ac:dyDescent="0.25">
      <c r="A546" s="128"/>
      <c r="B546" s="237" t="s">
        <v>22</v>
      </c>
      <c r="C546" s="233"/>
      <c r="D546" s="216"/>
      <c r="F546" s="391">
        <f>F543+F544+F545</f>
        <v>67.300000000000011</v>
      </c>
      <c r="G546" s="389">
        <f>G543+G544+G545</f>
        <v>67.300000000000011</v>
      </c>
      <c r="H546" s="128"/>
      <c r="I546" s="385"/>
      <c r="J546" s="304"/>
      <c r="K546" s="389">
        <f>K543+K544+K545</f>
        <v>16.62</v>
      </c>
      <c r="L546" s="304"/>
      <c r="M546" s="128"/>
      <c r="N546" s="128"/>
      <c r="O546" s="448"/>
      <c r="P546" s="231"/>
    </row>
    <row r="547" spans="1:16" x14ac:dyDescent="0.25">
      <c r="A547" s="447">
        <v>218</v>
      </c>
      <c r="B547" s="444" t="s">
        <v>1679</v>
      </c>
      <c r="C547" s="444" t="s">
        <v>1680</v>
      </c>
      <c r="D547" s="216" t="s">
        <v>1681</v>
      </c>
      <c r="E547" s="447" t="s">
        <v>1679</v>
      </c>
      <c r="F547" s="304">
        <v>14.15</v>
      </c>
      <c r="G547" s="316">
        <v>14.15</v>
      </c>
      <c r="H547" s="447" t="s">
        <v>1112</v>
      </c>
      <c r="I547" s="385" t="s">
        <v>1170</v>
      </c>
      <c r="J547" s="304">
        <v>127755</v>
      </c>
      <c r="K547" s="316">
        <v>2.7229999999999999</v>
      </c>
      <c r="L547" s="304">
        <v>5.2</v>
      </c>
      <c r="M547" s="447" t="s">
        <v>517</v>
      </c>
      <c r="N547" s="447" t="s">
        <v>312</v>
      </c>
      <c r="O547" s="447"/>
      <c r="P547" s="538" t="s">
        <v>517</v>
      </c>
    </row>
    <row r="548" spans="1:16" ht="37.5" x14ac:dyDescent="0.25">
      <c r="A548" s="448"/>
      <c r="B548" s="444"/>
      <c r="C548" s="444"/>
      <c r="D548" s="216" t="s">
        <v>1682</v>
      </c>
      <c r="E548" s="448"/>
      <c r="F548" s="304">
        <v>0.50900000000000001</v>
      </c>
      <c r="G548" s="316">
        <v>0.50900000000000001</v>
      </c>
      <c r="H548" s="448"/>
      <c r="I548" s="385" t="s">
        <v>1170</v>
      </c>
      <c r="J548" s="304">
        <v>13276</v>
      </c>
      <c r="K548" s="316">
        <v>2.83</v>
      </c>
      <c r="L548" s="304">
        <v>1.8</v>
      </c>
      <c r="M548" s="448"/>
      <c r="N548" s="448"/>
      <c r="O548" s="448"/>
      <c r="P548" s="539"/>
    </row>
    <row r="549" spans="1:16" ht="16.899999999999999" customHeight="1" x14ac:dyDescent="0.25">
      <c r="A549" s="165"/>
      <c r="B549" s="237" t="s">
        <v>22</v>
      </c>
      <c r="C549" s="120"/>
      <c r="D549" s="216"/>
      <c r="E549" s="128"/>
      <c r="F549" s="391">
        <f>F547+F548</f>
        <v>14.659000000000001</v>
      </c>
      <c r="G549" s="389">
        <f>G547+G548</f>
        <v>14.659000000000001</v>
      </c>
      <c r="H549" s="128"/>
      <c r="I549" s="385"/>
      <c r="J549" s="304"/>
      <c r="K549" s="389">
        <f>K547+K548</f>
        <v>5.5529999999999999</v>
      </c>
      <c r="L549" s="304"/>
      <c r="M549" s="128"/>
      <c r="N549" s="128"/>
      <c r="O549" s="128"/>
      <c r="P549" s="231"/>
    </row>
    <row r="550" spans="1:16" ht="39" customHeight="1" x14ac:dyDescent="0.25">
      <c r="A550" s="128">
        <v>219</v>
      </c>
      <c r="B550" s="120" t="s">
        <v>1683</v>
      </c>
      <c r="C550" s="120" t="s">
        <v>1684</v>
      </c>
      <c r="D550" s="216" t="s">
        <v>1685</v>
      </c>
      <c r="E550" s="107" t="s">
        <v>1683</v>
      </c>
      <c r="F550" s="304">
        <v>3.7770000000000001</v>
      </c>
      <c r="G550" s="316">
        <v>3.7770000000000001</v>
      </c>
      <c r="H550" s="128" t="s">
        <v>1112</v>
      </c>
      <c r="I550" s="385" t="s">
        <v>1170</v>
      </c>
      <c r="J550" s="304">
        <v>105789</v>
      </c>
      <c r="K550" s="316">
        <v>2.1800000000000002</v>
      </c>
      <c r="L550" s="304">
        <v>1.5</v>
      </c>
      <c r="M550" s="128" t="s">
        <v>471</v>
      </c>
      <c r="N550" s="128" t="s">
        <v>312</v>
      </c>
      <c r="O550" s="128"/>
      <c r="P550" s="231" t="s">
        <v>471</v>
      </c>
    </row>
    <row r="551" spans="1:16" ht="24" customHeight="1" x14ac:dyDescent="0.25">
      <c r="A551" s="128"/>
      <c r="B551" s="237" t="s">
        <v>22</v>
      </c>
      <c r="C551" s="120"/>
      <c r="D551" s="216"/>
      <c r="E551" s="128"/>
      <c r="F551" s="391">
        <f>F550</f>
        <v>3.7770000000000001</v>
      </c>
      <c r="G551" s="389">
        <f>G550</f>
        <v>3.7770000000000001</v>
      </c>
      <c r="H551" s="128"/>
      <c r="I551" s="385"/>
      <c r="J551" s="304"/>
      <c r="K551" s="389">
        <f>K550</f>
        <v>2.1800000000000002</v>
      </c>
      <c r="L551" s="304"/>
      <c r="M551" s="128"/>
      <c r="N551" s="128"/>
      <c r="O551" s="128"/>
      <c r="P551" s="231"/>
    </row>
    <row r="552" spans="1:16" x14ac:dyDescent="0.25">
      <c r="A552" s="128">
        <v>220</v>
      </c>
      <c r="B552" s="120" t="s">
        <v>1686</v>
      </c>
      <c r="C552" s="120" t="s">
        <v>1687</v>
      </c>
      <c r="D552" s="216" t="s">
        <v>1688</v>
      </c>
      <c r="E552" s="128" t="s">
        <v>1686</v>
      </c>
      <c r="F552" s="304">
        <v>1.61</v>
      </c>
      <c r="G552" s="316">
        <v>1.61</v>
      </c>
      <c r="H552" s="128" t="s">
        <v>1112</v>
      </c>
      <c r="I552" s="385" t="s">
        <v>1170</v>
      </c>
      <c r="J552" s="304">
        <v>17929</v>
      </c>
      <c r="K552" s="316">
        <v>0.50900000000000001</v>
      </c>
      <c r="L552" s="304">
        <v>3.6</v>
      </c>
      <c r="M552" s="128" t="s">
        <v>1149</v>
      </c>
      <c r="N552" s="128" t="s">
        <v>312</v>
      </c>
      <c r="O552" s="128"/>
      <c r="P552" s="231" t="s">
        <v>1149</v>
      </c>
    </row>
    <row r="553" spans="1:16" ht="21.95" customHeight="1" x14ac:dyDescent="0.25">
      <c r="A553" s="128"/>
      <c r="B553" s="238" t="s">
        <v>22</v>
      </c>
      <c r="C553" s="232"/>
      <c r="D553" s="216"/>
      <c r="E553" s="128"/>
      <c r="F553" s="391">
        <f>F552</f>
        <v>1.61</v>
      </c>
      <c r="G553" s="389">
        <f>G552</f>
        <v>1.61</v>
      </c>
      <c r="H553" s="128"/>
      <c r="I553" s="385"/>
      <c r="J553" s="304"/>
      <c r="K553" s="389">
        <f>K552</f>
        <v>0.50900000000000001</v>
      </c>
      <c r="L553" s="304"/>
      <c r="M553" s="128"/>
      <c r="N553" s="128"/>
      <c r="O553" s="128"/>
      <c r="P553" s="231"/>
    </row>
    <row r="554" spans="1:16" ht="37.5" x14ac:dyDescent="0.25">
      <c r="A554" s="447">
        <v>221</v>
      </c>
      <c r="B554" s="513" t="s">
        <v>1690</v>
      </c>
      <c r="C554" s="505" t="s">
        <v>1691</v>
      </c>
      <c r="D554" s="216" t="s">
        <v>1692</v>
      </c>
      <c r="E554" s="447" t="s">
        <v>1690</v>
      </c>
      <c r="F554" s="304">
        <v>2.8079999999999998</v>
      </c>
      <c r="G554" s="316">
        <v>2.8079999999999998</v>
      </c>
      <c r="H554" s="447" t="s">
        <v>1112</v>
      </c>
      <c r="I554" s="385" t="s">
        <v>1170</v>
      </c>
      <c r="J554" s="304">
        <v>39130</v>
      </c>
      <c r="K554" s="316">
        <v>1.17</v>
      </c>
      <c r="L554" s="304">
        <v>2.4</v>
      </c>
      <c r="M554" s="447" t="s">
        <v>1064</v>
      </c>
      <c r="N554" s="447" t="s">
        <v>312</v>
      </c>
      <c r="O554" s="447"/>
      <c r="P554" s="538" t="s">
        <v>1064</v>
      </c>
    </row>
    <row r="555" spans="1:16" x14ac:dyDescent="0.25">
      <c r="A555" s="491"/>
      <c r="B555" s="514"/>
      <c r="C555" s="511"/>
      <c r="D555" s="216" t="s">
        <v>1693</v>
      </c>
      <c r="E555" s="491"/>
      <c r="F555" s="304">
        <v>12.342000000000001</v>
      </c>
      <c r="G555" s="316">
        <v>12.342000000000001</v>
      </c>
      <c r="H555" s="491"/>
      <c r="I555" s="385" t="s">
        <v>1170</v>
      </c>
      <c r="J555" s="304">
        <v>84237</v>
      </c>
      <c r="K555" s="316">
        <v>2.5190000000000001</v>
      </c>
      <c r="L555" s="304">
        <v>4.9000000000000004</v>
      </c>
      <c r="M555" s="491"/>
      <c r="N555" s="491"/>
      <c r="O555" s="491"/>
      <c r="P555" s="540"/>
    </row>
    <row r="556" spans="1:16" x14ac:dyDescent="0.25">
      <c r="A556" s="491"/>
      <c r="B556" s="514"/>
      <c r="C556" s="511"/>
      <c r="D556" s="216" t="s">
        <v>1694</v>
      </c>
      <c r="E556" s="491"/>
      <c r="F556" s="304">
        <v>1.514</v>
      </c>
      <c r="G556" s="316">
        <v>1.514</v>
      </c>
      <c r="H556" s="491"/>
      <c r="I556" s="385" t="s">
        <v>1170</v>
      </c>
      <c r="J556" s="304">
        <v>29785</v>
      </c>
      <c r="K556" s="316">
        <v>0.89100000000000001</v>
      </c>
      <c r="L556" s="304">
        <v>1.7</v>
      </c>
      <c r="M556" s="491"/>
      <c r="N556" s="491"/>
      <c r="O556" s="491"/>
      <c r="P556" s="540"/>
    </row>
    <row r="557" spans="1:16" x14ac:dyDescent="0.25">
      <c r="A557" s="448"/>
      <c r="B557" s="515"/>
      <c r="C557" s="506"/>
      <c r="D557" s="216" t="s">
        <v>1695</v>
      </c>
      <c r="E557" s="448"/>
      <c r="F557" s="304">
        <v>1.155</v>
      </c>
      <c r="G557" s="316">
        <v>1.155</v>
      </c>
      <c r="H557" s="448"/>
      <c r="I557" s="385" t="s">
        <v>1170</v>
      </c>
      <c r="J557" s="304">
        <v>27591</v>
      </c>
      <c r="K557" s="316">
        <v>0.82499999999999996</v>
      </c>
      <c r="L557" s="304">
        <v>1.4</v>
      </c>
      <c r="M557" s="448"/>
      <c r="N557" s="448"/>
      <c r="O557" s="448"/>
      <c r="P557" s="539"/>
    </row>
    <row r="558" spans="1:16" ht="25.9" customHeight="1" x14ac:dyDescent="0.25">
      <c r="A558" s="128"/>
      <c r="B558" s="237" t="s">
        <v>22</v>
      </c>
      <c r="C558" s="120"/>
      <c r="D558" s="239"/>
      <c r="E558" s="128"/>
      <c r="F558" s="341">
        <f>F554+F555+F556+F557</f>
        <v>17.819000000000003</v>
      </c>
      <c r="G558" s="245">
        <f>G554+G555+G556+G557</f>
        <v>17.819000000000003</v>
      </c>
      <c r="H558" s="128"/>
      <c r="I558" s="392"/>
      <c r="J558" s="128"/>
      <c r="K558" s="245">
        <f>K554+K555+K556+K557</f>
        <v>5.4050000000000002</v>
      </c>
      <c r="L558" s="128"/>
      <c r="M558" s="128"/>
      <c r="N558" s="128"/>
      <c r="O558" s="128"/>
      <c r="P558" s="231"/>
    </row>
    <row r="559" spans="1:16" x14ac:dyDescent="0.25">
      <c r="A559" s="447">
        <v>222</v>
      </c>
      <c r="B559" s="505" t="s">
        <v>1696</v>
      </c>
      <c r="C559" s="505" t="s">
        <v>1701</v>
      </c>
      <c r="D559" s="216" t="s">
        <v>1698</v>
      </c>
      <c r="E559" s="447" t="s">
        <v>1696</v>
      </c>
      <c r="F559" s="304">
        <v>0.129</v>
      </c>
      <c r="G559" s="316">
        <v>0.129</v>
      </c>
      <c r="H559" s="447" t="s">
        <v>1112</v>
      </c>
      <c r="I559" s="385" t="s">
        <v>1170</v>
      </c>
      <c r="J559" s="304">
        <v>3142</v>
      </c>
      <c r="K559" s="316">
        <v>9.1999999999999998E-2</v>
      </c>
      <c r="L559" s="304">
        <v>1.4</v>
      </c>
      <c r="M559" s="447" t="s">
        <v>499</v>
      </c>
      <c r="N559" s="447" t="s">
        <v>312</v>
      </c>
      <c r="O559" s="447"/>
      <c r="P559" s="538" t="s">
        <v>499</v>
      </c>
    </row>
    <row r="560" spans="1:16" x14ac:dyDescent="0.25">
      <c r="A560" s="448"/>
      <c r="B560" s="506"/>
      <c r="C560" s="506"/>
      <c r="D560" s="216" t="s">
        <v>1699</v>
      </c>
      <c r="E560" s="448"/>
      <c r="F560" s="304">
        <v>4.6900000000000004</v>
      </c>
      <c r="G560" s="316">
        <v>4.6900000000000004</v>
      </c>
      <c r="H560" s="448"/>
      <c r="I560" s="385" t="s">
        <v>1170</v>
      </c>
      <c r="J560" s="304">
        <v>146014</v>
      </c>
      <c r="K560" s="316">
        <v>4.2629999999999999</v>
      </c>
      <c r="L560" s="304">
        <v>1.1000000000000001</v>
      </c>
      <c r="M560" s="491"/>
      <c r="N560" s="491"/>
      <c r="O560" s="491"/>
      <c r="P560" s="540"/>
    </row>
    <row r="561" spans="1:16" ht="19.5" x14ac:dyDescent="0.25">
      <c r="A561" s="128"/>
      <c r="B561" s="237" t="s">
        <v>22</v>
      </c>
      <c r="C561" s="120"/>
      <c r="D561" s="240"/>
      <c r="E561" s="128"/>
      <c r="F561" s="341">
        <f>F559+F560</f>
        <v>4.8190000000000008</v>
      </c>
      <c r="G561" s="245">
        <f>G559+G560</f>
        <v>4.8190000000000008</v>
      </c>
      <c r="H561" s="128"/>
      <c r="I561" s="392"/>
      <c r="J561" s="128"/>
      <c r="K561" s="245">
        <f>K559+K560</f>
        <v>4.3549999999999995</v>
      </c>
      <c r="L561" s="128"/>
      <c r="M561" s="491"/>
      <c r="N561" s="491"/>
      <c r="O561" s="491"/>
      <c r="P561" s="540"/>
    </row>
    <row r="562" spans="1:16" ht="37.5" x14ac:dyDescent="0.25">
      <c r="A562" s="447">
        <v>223</v>
      </c>
      <c r="B562" s="444" t="s">
        <v>1700</v>
      </c>
      <c r="C562" s="505" t="s">
        <v>1697</v>
      </c>
      <c r="D562" s="216" t="s">
        <v>1702</v>
      </c>
      <c r="E562" s="447" t="s">
        <v>1700</v>
      </c>
      <c r="F562" s="304">
        <v>0.85499999999999998</v>
      </c>
      <c r="G562" s="316">
        <v>0.85499999999999998</v>
      </c>
      <c r="H562" s="447" t="s">
        <v>1112</v>
      </c>
      <c r="I562" s="385" t="s">
        <v>1170</v>
      </c>
      <c r="J562" s="304">
        <v>6705</v>
      </c>
      <c r="K562" s="316">
        <v>0.17100000000000001</v>
      </c>
      <c r="L562" s="304">
        <v>5</v>
      </c>
      <c r="M562" s="491"/>
      <c r="N562" s="491"/>
      <c r="O562" s="491"/>
      <c r="P562" s="540"/>
    </row>
    <row r="563" spans="1:16" x14ac:dyDescent="0.25">
      <c r="A563" s="448"/>
      <c r="B563" s="444"/>
      <c r="C563" s="506"/>
      <c r="D563" s="216" t="s">
        <v>1703</v>
      </c>
      <c r="E563" s="448"/>
      <c r="F563" s="304">
        <v>1.663</v>
      </c>
      <c r="G563" s="316">
        <v>1.663</v>
      </c>
      <c r="H563" s="448"/>
      <c r="I563" s="385" t="s">
        <v>1170</v>
      </c>
      <c r="J563" s="304">
        <v>15906</v>
      </c>
      <c r="K563" s="316">
        <v>0.40600000000000003</v>
      </c>
      <c r="L563" s="304">
        <v>4.0999999999999996</v>
      </c>
      <c r="M563" s="448"/>
      <c r="N563" s="448"/>
      <c r="O563" s="448"/>
      <c r="P563" s="539"/>
    </row>
    <row r="564" spans="1:16" ht="24" customHeight="1" x14ac:dyDescent="0.25">
      <c r="A564" s="128"/>
      <c r="B564" s="236" t="s">
        <v>22</v>
      </c>
      <c r="C564" s="120"/>
      <c r="D564" s="240"/>
      <c r="E564" s="128"/>
      <c r="F564" s="341">
        <f>F562+F563</f>
        <v>2.5179999999999998</v>
      </c>
      <c r="G564" s="245">
        <f>G562+G563</f>
        <v>2.5179999999999998</v>
      </c>
      <c r="H564" s="128"/>
      <c r="I564" s="342"/>
      <c r="J564" s="128"/>
      <c r="K564" s="245">
        <f>K562+K563</f>
        <v>0.57700000000000007</v>
      </c>
      <c r="L564" s="128"/>
      <c r="M564" s="128"/>
      <c r="N564" s="128"/>
      <c r="O564" s="128"/>
      <c r="P564" s="231"/>
    </row>
    <row r="565" spans="1:16" ht="41.1" customHeight="1" x14ac:dyDescent="0.25">
      <c r="A565" s="128">
        <v>224</v>
      </c>
      <c r="B565" s="120" t="s">
        <v>1704</v>
      </c>
      <c r="C565" s="120" t="s">
        <v>1705</v>
      </c>
      <c r="D565" s="216" t="s">
        <v>1706</v>
      </c>
      <c r="E565" s="128" t="s">
        <v>1704</v>
      </c>
      <c r="F565" s="304">
        <v>432.18700000000001</v>
      </c>
      <c r="G565" s="316">
        <v>432.18700000000001</v>
      </c>
      <c r="H565" s="128" t="s">
        <v>1112</v>
      </c>
      <c r="I565" s="385" t="s">
        <v>1170</v>
      </c>
      <c r="J565" s="304">
        <v>4258003</v>
      </c>
      <c r="K565" s="316">
        <v>123.482</v>
      </c>
      <c r="L565" s="304">
        <v>3.5</v>
      </c>
      <c r="M565" s="128" t="s">
        <v>1762</v>
      </c>
      <c r="N565" s="128" t="s">
        <v>312</v>
      </c>
      <c r="O565" s="128"/>
      <c r="P565" s="231" t="s">
        <v>1762</v>
      </c>
    </row>
    <row r="566" spans="1:16" ht="24" customHeight="1" x14ac:dyDescent="0.25">
      <c r="A566" s="128"/>
      <c r="B566" s="241" t="s">
        <v>22</v>
      </c>
      <c r="C566" s="223"/>
      <c r="D566" s="223"/>
      <c r="E566" s="128"/>
      <c r="F566" s="341">
        <f>F565</f>
        <v>432.18700000000001</v>
      </c>
      <c r="G566" s="245">
        <f>G565</f>
        <v>432.18700000000001</v>
      </c>
      <c r="H566" s="128"/>
      <c r="K566" s="393">
        <f>K565</f>
        <v>123.482</v>
      </c>
      <c r="M566" s="128"/>
      <c r="N566" s="128"/>
      <c r="O566" s="128"/>
      <c r="P566" s="231"/>
    </row>
    <row r="567" spans="1:16" ht="37.5" x14ac:dyDescent="0.25">
      <c r="A567" s="128">
        <v>225</v>
      </c>
      <c r="B567" s="120" t="s">
        <v>1704</v>
      </c>
      <c r="C567" s="120" t="s">
        <v>1708</v>
      </c>
      <c r="D567" s="216" t="s">
        <v>1706</v>
      </c>
      <c r="E567" s="128" t="s">
        <v>1704</v>
      </c>
      <c r="F567" s="304">
        <v>233.75200000000001</v>
      </c>
      <c r="G567" s="316">
        <v>233.75200000000001</v>
      </c>
      <c r="H567" s="128" t="s">
        <v>1112</v>
      </c>
      <c r="I567" s="385" t="s">
        <v>1170</v>
      </c>
      <c r="J567" s="304">
        <v>3210880</v>
      </c>
      <c r="K567" s="316">
        <v>83.483000000000004</v>
      </c>
      <c r="L567" s="304">
        <v>2.8</v>
      </c>
      <c r="M567" s="128" t="s">
        <v>1061</v>
      </c>
      <c r="N567" s="128" t="s">
        <v>312</v>
      </c>
      <c r="O567" s="128"/>
      <c r="P567" s="231" t="s">
        <v>1061</v>
      </c>
    </row>
    <row r="568" spans="1:16" ht="27" customHeight="1" x14ac:dyDescent="0.25">
      <c r="A568" s="128"/>
      <c r="B568" s="237" t="s">
        <v>22</v>
      </c>
      <c r="C568" s="120"/>
      <c r="D568" s="216"/>
      <c r="E568" s="128"/>
      <c r="F568" s="391">
        <f>F567</f>
        <v>233.75200000000001</v>
      </c>
      <c r="G568" s="389">
        <f>G567</f>
        <v>233.75200000000001</v>
      </c>
      <c r="H568" s="128"/>
      <c r="I568" s="385"/>
      <c r="J568" s="304"/>
      <c r="K568" s="389">
        <f>K567</f>
        <v>83.483000000000004</v>
      </c>
      <c r="L568" s="304"/>
      <c r="M568" s="128"/>
      <c r="N568" s="128"/>
      <c r="O568" s="128"/>
      <c r="P568" s="231"/>
    </row>
    <row r="569" spans="1:16" ht="27" customHeight="1" x14ac:dyDescent="0.25">
      <c r="A569" s="128">
        <v>226</v>
      </c>
      <c r="B569" s="120" t="s">
        <v>1709</v>
      </c>
      <c r="C569" s="120" t="s">
        <v>1763</v>
      </c>
      <c r="D569" s="216" t="s">
        <v>432</v>
      </c>
      <c r="E569" s="107" t="s">
        <v>1709</v>
      </c>
      <c r="F569" s="304">
        <v>13.316000000000001</v>
      </c>
      <c r="G569" s="316">
        <v>13.316000000000001</v>
      </c>
      <c r="H569" s="128" t="s">
        <v>1112</v>
      </c>
      <c r="I569" s="394" t="s">
        <v>37</v>
      </c>
      <c r="J569" s="304">
        <v>168.57</v>
      </c>
      <c r="K569" s="316">
        <v>0.95099999999999996</v>
      </c>
      <c r="L569" s="304">
        <v>14</v>
      </c>
      <c r="M569" s="128" t="s">
        <v>446</v>
      </c>
      <c r="N569" s="128" t="s">
        <v>312</v>
      </c>
      <c r="O569" s="128"/>
      <c r="P569" s="231" t="s">
        <v>446</v>
      </c>
    </row>
    <row r="570" spans="1:16" ht="22.15" customHeight="1" x14ac:dyDescent="0.25">
      <c r="A570" s="128"/>
      <c r="B570" s="241" t="s">
        <v>22</v>
      </c>
      <c r="C570" s="231"/>
      <c r="D570" s="223"/>
      <c r="E570" s="128"/>
      <c r="F570" s="341">
        <f>F569</f>
        <v>13.316000000000001</v>
      </c>
      <c r="G570" s="245">
        <f>G569</f>
        <v>13.316000000000001</v>
      </c>
      <c r="H570" s="128"/>
      <c r="I570" s="342"/>
      <c r="J570" s="128"/>
      <c r="K570" s="245">
        <f>K569</f>
        <v>0.95099999999999996</v>
      </c>
      <c r="L570" s="128"/>
      <c r="M570" s="128"/>
      <c r="N570" s="128"/>
      <c r="O570" s="128"/>
      <c r="P570" s="231"/>
    </row>
    <row r="571" spans="1:16" x14ac:dyDescent="0.25">
      <c r="A571" s="401">
        <v>227</v>
      </c>
      <c r="B571" s="120" t="s">
        <v>1709</v>
      </c>
      <c r="C571" s="120" t="s">
        <v>1763</v>
      </c>
      <c r="D571" s="216" t="s">
        <v>1710</v>
      </c>
      <c r="E571" s="107" t="s">
        <v>1709</v>
      </c>
      <c r="F571" s="304">
        <v>3.5070000000000001</v>
      </c>
      <c r="G571" s="316">
        <v>3.5070000000000001</v>
      </c>
      <c r="H571" s="128" t="s">
        <v>1112</v>
      </c>
      <c r="I571" s="385" t="s">
        <v>1170</v>
      </c>
      <c r="J571" s="304">
        <v>13580</v>
      </c>
      <c r="K571" s="316">
        <v>0.35</v>
      </c>
      <c r="L571" s="304">
        <v>10</v>
      </c>
      <c r="M571" s="128" t="s">
        <v>446</v>
      </c>
      <c r="N571" s="128" t="s">
        <v>312</v>
      </c>
      <c r="O571" s="128"/>
      <c r="P571" s="231" t="s">
        <v>446</v>
      </c>
    </row>
    <row r="572" spans="1:16" ht="24" customHeight="1" x14ac:dyDescent="0.25">
      <c r="A572" s="128"/>
      <c r="B572" s="236" t="s">
        <v>22</v>
      </c>
      <c r="C572" s="195"/>
      <c r="D572" s="239"/>
      <c r="E572" s="128"/>
      <c r="F572" s="341">
        <f>F571</f>
        <v>3.5070000000000001</v>
      </c>
      <c r="G572" s="245">
        <f>G571</f>
        <v>3.5070000000000001</v>
      </c>
      <c r="H572" s="128"/>
      <c r="I572" s="392"/>
      <c r="J572" s="128"/>
      <c r="K572" s="245">
        <f>K571</f>
        <v>0.35</v>
      </c>
      <c r="L572" s="128"/>
      <c r="M572" s="128"/>
      <c r="N572" s="128"/>
      <c r="O572" s="128"/>
      <c r="P572" s="231"/>
    </row>
    <row r="573" spans="1:16" ht="37.5" x14ac:dyDescent="0.25">
      <c r="A573" s="447">
        <v>228</v>
      </c>
      <c r="B573" s="505" t="s">
        <v>1721</v>
      </c>
      <c r="C573" s="505" t="s">
        <v>1722</v>
      </c>
      <c r="D573" s="216" t="s">
        <v>1723</v>
      </c>
      <c r="E573" s="449" t="s">
        <v>1721</v>
      </c>
      <c r="F573" s="304">
        <v>0.41799999999999998</v>
      </c>
      <c r="G573" s="316">
        <v>0.41799999999999998</v>
      </c>
      <c r="H573" s="447" t="s">
        <v>1112</v>
      </c>
      <c r="I573" s="385" t="s">
        <v>1170</v>
      </c>
      <c r="J573" s="304">
        <v>7432</v>
      </c>
      <c r="K573" s="316">
        <v>0.22</v>
      </c>
      <c r="L573" s="304">
        <v>1.9</v>
      </c>
      <c r="M573" s="447" t="s">
        <v>442</v>
      </c>
      <c r="N573" s="447" t="s">
        <v>312</v>
      </c>
      <c r="O573" s="447"/>
      <c r="P573" s="538" t="s">
        <v>442</v>
      </c>
    </row>
    <row r="574" spans="1:16" ht="37.5" x14ac:dyDescent="0.25">
      <c r="A574" s="448"/>
      <c r="B574" s="506"/>
      <c r="C574" s="506"/>
      <c r="D574" s="242" t="s">
        <v>1724</v>
      </c>
      <c r="E574" s="433"/>
      <c r="F574" s="304">
        <v>0.96499999999999997</v>
      </c>
      <c r="G574" s="316">
        <v>0.96499999999999997</v>
      </c>
      <c r="H574" s="448"/>
      <c r="I574" s="385" t="s">
        <v>1170</v>
      </c>
      <c r="J574" s="304">
        <v>6653</v>
      </c>
      <c r="K574" s="316">
        <v>0.1963</v>
      </c>
      <c r="L574" s="304">
        <v>4.9000000000000004</v>
      </c>
      <c r="M574" s="448"/>
      <c r="N574" s="448"/>
      <c r="O574" s="448"/>
      <c r="P574" s="539"/>
    </row>
    <row r="575" spans="1:16" ht="19.149999999999999" customHeight="1" x14ac:dyDescent="0.25">
      <c r="A575" s="128"/>
      <c r="B575" s="236" t="s">
        <v>22</v>
      </c>
      <c r="C575" s="195"/>
      <c r="D575" s="239"/>
      <c r="E575" s="128"/>
      <c r="F575" s="341">
        <f>F573+F574</f>
        <v>1.383</v>
      </c>
      <c r="G575" s="245">
        <f>G573+G574</f>
        <v>1.383</v>
      </c>
      <c r="H575" s="128"/>
      <c r="I575" s="392"/>
      <c r="J575" s="128"/>
      <c r="K575" s="389">
        <f>K573+K574</f>
        <v>0.4163</v>
      </c>
      <c r="L575" s="128"/>
      <c r="M575" s="128"/>
      <c r="N575" s="128"/>
      <c r="O575" s="128"/>
      <c r="P575" s="231"/>
    </row>
    <row r="576" spans="1:16" ht="37.5" x14ac:dyDescent="0.25">
      <c r="A576" s="447">
        <v>229</v>
      </c>
      <c r="B576" s="444" t="s">
        <v>1725</v>
      </c>
      <c r="C576" s="444" t="s">
        <v>1726</v>
      </c>
      <c r="D576" s="216" t="s">
        <v>1727</v>
      </c>
      <c r="E576" s="449" t="s">
        <v>1725</v>
      </c>
      <c r="F576" s="304">
        <v>3.552</v>
      </c>
      <c r="G576" s="316">
        <v>3.552</v>
      </c>
      <c r="H576" s="447" t="s">
        <v>1112</v>
      </c>
      <c r="I576" s="385" t="s">
        <v>1170</v>
      </c>
      <c r="J576" s="304">
        <v>28571</v>
      </c>
      <c r="K576" s="316">
        <v>0.84599999999999997</v>
      </c>
      <c r="L576" s="304">
        <v>4.2</v>
      </c>
      <c r="M576" s="447" t="s">
        <v>442</v>
      </c>
      <c r="N576" s="447" t="s">
        <v>312</v>
      </c>
      <c r="O576" s="447"/>
      <c r="P576" s="538" t="s">
        <v>442</v>
      </c>
    </row>
    <row r="577" spans="1:16" ht="37.5" x14ac:dyDescent="0.25">
      <c r="A577" s="491"/>
      <c r="B577" s="444"/>
      <c r="C577" s="444"/>
      <c r="D577" s="216" t="s">
        <v>1728</v>
      </c>
      <c r="E577" s="490"/>
      <c r="F577" s="304">
        <v>0.32300000000000001</v>
      </c>
      <c r="G577" s="316">
        <v>0.32300000000000001</v>
      </c>
      <c r="H577" s="491"/>
      <c r="I577" s="385" t="s">
        <v>1170</v>
      </c>
      <c r="J577" s="304">
        <v>3520</v>
      </c>
      <c r="K577" s="316">
        <v>0.104</v>
      </c>
      <c r="L577" s="304">
        <v>3.1</v>
      </c>
      <c r="M577" s="491"/>
      <c r="N577" s="491"/>
      <c r="O577" s="491"/>
      <c r="P577" s="540"/>
    </row>
    <row r="578" spans="1:16" ht="37.5" x14ac:dyDescent="0.25">
      <c r="A578" s="448"/>
      <c r="B578" s="444"/>
      <c r="C578" s="444"/>
      <c r="D578" s="216" t="s">
        <v>1729</v>
      </c>
      <c r="E578" s="433"/>
      <c r="F578" s="304">
        <v>0.26700000000000002</v>
      </c>
      <c r="G578" s="316">
        <v>0.26700000000000002</v>
      </c>
      <c r="H578" s="448"/>
      <c r="I578" s="385" t="s">
        <v>1170</v>
      </c>
      <c r="J578" s="304">
        <v>3110</v>
      </c>
      <c r="K578" s="395">
        <v>0.92100000000000004</v>
      </c>
      <c r="L578" s="304">
        <v>2.9</v>
      </c>
      <c r="M578" s="448"/>
      <c r="N578" s="448"/>
      <c r="O578" s="448"/>
      <c r="P578" s="539"/>
    </row>
    <row r="579" spans="1:16" ht="19.5" x14ac:dyDescent="0.25">
      <c r="A579" s="128"/>
      <c r="B579" s="237" t="s">
        <v>22</v>
      </c>
      <c r="C579" s="120"/>
      <c r="D579" s="216"/>
      <c r="E579" s="128"/>
      <c r="F579" s="391">
        <f>F576+F577+F578</f>
        <v>4.1420000000000003</v>
      </c>
      <c r="G579" s="389">
        <f>G576+G577+G578</f>
        <v>4.1420000000000003</v>
      </c>
      <c r="H579" s="128"/>
      <c r="I579" s="385"/>
      <c r="J579" s="304"/>
      <c r="K579" s="389">
        <f>K576+K577+K578</f>
        <v>1.871</v>
      </c>
      <c r="L579" s="304"/>
      <c r="M579" s="128"/>
      <c r="N579" s="128"/>
      <c r="O579" s="128"/>
      <c r="P579" s="231"/>
    </row>
    <row r="580" spans="1:16" x14ac:dyDescent="0.25">
      <c r="A580" s="128">
        <v>230</v>
      </c>
      <c r="B580" s="120" t="s">
        <v>1730</v>
      </c>
      <c r="C580" s="120" t="s">
        <v>1731</v>
      </c>
      <c r="D580" s="216" t="s">
        <v>1732</v>
      </c>
      <c r="E580" s="128" t="s">
        <v>1730</v>
      </c>
      <c r="F580" s="304">
        <v>0.48499999999999999</v>
      </c>
      <c r="G580" s="316">
        <v>0.48499999999999999</v>
      </c>
      <c r="H580" s="128" t="s">
        <v>1112</v>
      </c>
      <c r="I580" s="385" t="s">
        <v>1170</v>
      </c>
      <c r="J580" s="304">
        <v>9201</v>
      </c>
      <c r="K580" s="316">
        <v>0.23100000000000001</v>
      </c>
      <c r="L580" s="304">
        <v>2.1</v>
      </c>
      <c r="M580" s="128" t="s">
        <v>1064</v>
      </c>
      <c r="N580" s="128" t="s">
        <v>312</v>
      </c>
      <c r="O580" s="128"/>
      <c r="P580" s="231" t="s">
        <v>1064</v>
      </c>
    </row>
    <row r="581" spans="1:16" ht="19.5" x14ac:dyDescent="0.25">
      <c r="A581" s="128"/>
      <c r="B581" s="237" t="s">
        <v>22</v>
      </c>
      <c r="C581" s="120"/>
      <c r="D581" s="216"/>
      <c r="E581" s="128"/>
      <c r="F581" s="391">
        <f>F580</f>
        <v>0.48499999999999999</v>
      </c>
      <c r="G581" s="389">
        <f>G580</f>
        <v>0.48499999999999999</v>
      </c>
      <c r="H581" s="128"/>
      <c r="I581" s="385"/>
      <c r="J581" s="304"/>
      <c r="K581" s="389">
        <f>K580</f>
        <v>0.23100000000000001</v>
      </c>
      <c r="L581" s="304"/>
      <c r="M581" s="128"/>
      <c r="N581" s="128"/>
      <c r="O581" s="128"/>
      <c r="P581" s="231"/>
    </row>
    <row r="582" spans="1:16" ht="37.5" x14ac:dyDescent="0.25">
      <c r="A582" s="447">
        <v>231</v>
      </c>
      <c r="B582" s="444" t="s">
        <v>1733</v>
      </c>
      <c r="C582" s="444" t="s">
        <v>1734</v>
      </c>
      <c r="D582" s="216" t="s">
        <v>1735</v>
      </c>
      <c r="E582" s="447" t="s">
        <v>1733</v>
      </c>
      <c r="F582" s="304">
        <v>1.29</v>
      </c>
      <c r="G582" s="316">
        <v>1.29</v>
      </c>
      <c r="H582" s="447" t="s">
        <v>1112</v>
      </c>
      <c r="I582" s="385" t="s">
        <v>1170</v>
      </c>
      <c r="J582" s="304">
        <v>12535</v>
      </c>
      <c r="K582" s="316">
        <v>0.315</v>
      </c>
      <c r="L582" s="304">
        <v>4.0999999999999996</v>
      </c>
      <c r="M582" s="447" t="s">
        <v>1064</v>
      </c>
      <c r="N582" s="447" t="s">
        <v>312</v>
      </c>
      <c r="O582" s="447"/>
      <c r="P582" s="538" t="s">
        <v>1064</v>
      </c>
    </row>
    <row r="583" spans="1:16" ht="37.5" x14ac:dyDescent="0.25">
      <c r="A583" s="491"/>
      <c r="B583" s="444"/>
      <c r="C583" s="444"/>
      <c r="D583" s="216" t="s">
        <v>1736</v>
      </c>
      <c r="E583" s="491"/>
      <c r="F583" s="304">
        <v>1.925</v>
      </c>
      <c r="G583" s="316">
        <v>1.925</v>
      </c>
      <c r="H583" s="491"/>
      <c r="I583" s="385" t="s">
        <v>1170</v>
      </c>
      <c r="J583" s="304">
        <v>17430</v>
      </c>
      <c r="K583" s="316">
        <v>0.438</v>
      </c>
      <c r="L583" s="304">
        <v>4.4000000000000004</v>
      </c>
      <c r="M583" s="491"/>
      <c r="N583" s="491"/>
      <c r="O583" s="491"/>
      <c r="P583" s="540"/>
    </row>
    <row r="584" spans="1:16" ht="37.5" x14ac:dyDescent="0.25">
      <c r="A584" s="491"/>
      <c r="B584" s="444"/>
      <c r="C584" s="444"/>
      <c r="D584" s="216" t="s">
        <v>1737</v>
      </c>
      <c r="E584" s="491"/>
      <c r="F584" s="304">
        <v>2.2000000000000002</v>
      </c>
      <c r="G584" s="316">
        <v>2.2000000000000002</v>
      </c>
      <c r="H584" s="491"/>
      <c r="I584" s="385" t="s">
        <v>1170</v>
      </c>
      <c r="J584" s="304">
        <v>19054</v>
      </c>
      <c r="K584" s="316">
        <v>0.4783</v>
      </c>
      <c r="L584" s="304">
        <v>4.5999999999999996</v>
      </c>
      <c r="M584" s="491"/>
      <c r="N584" s="491"/>
      <c r="O584" s="491"/>
      <c r="P584" s="540"/>
    </row>
    <row r="585" spans="1:16" ht="37.5" x14ac:dyDescent="0.25">
      <c r="A585" s="491"/>
      <c r="B585" s="444"/>
      <c r="C585" s="444"/>
      <c r="D585" s="216" t="s">
        <v>1738</v>
      </c>
      <c r="E585" s="491"/>
      <c r="F585" s="304">
        <v>0.315</v>
      </c>
      <c r="G585" s="316">
        <v>0.315</v>
      </c>
      <c r="H585" s="491"/>
      <c r="I585" s="385" t="s">
        <v>1170</v>
      </c>
      <c r="J585" s="304">
        <v>5456</v>
      </c>
      <c r="K585" s="316">
        <v>0.13700000000000001</v>
      </c>
      <c r="L585" s="304">
        <v>2.2999999999999998</v>
      </c>
      <c r="M585" s="491"/>
      <c r="N585" s="491"/>
      <c r="O585" s="491"/>
      <c r="P585" s="540"/>
    </row>
    <row r="586" spans="1:16" ht="37.5" x14ac:dyDescent="0.25">
      <c r="A586" s="491"/>
      <c r="B586" s="444"/>
      <c r="C586" s="444"/>
      <c r="D586" s="216" t="s">
        <v>1739</v>
      </c>
      <c r="E586" s="491"/>
      <c r="F586" s="304">
        <v>2.3839999999999999</v>
      </c>
      <c r="G586" s="316">
        <v>2.3839999999999999</v>
      </c>
      <c r="H586" s="491"/>
      <c r="I586" s="385" t="s">
        <v>1170</v>
      </c>
      <c r="J586" s="304">
        <v>19787</v>
      </c>
      <c r="K586" s="316">
        <v>0.497</v>
      </c>
      <c r="L586" s="304">
        <v>4.8</v>
      </c>
      <c r="M586" s="491"/>
      <c r="N586" s="491"/>
      <c r="O586" s="491"/>
      <c r="P586" s="540"/>
    </row>
    <row r="587" spans="1:16" ht="37.5" x14ac:dyDescent="0.25">
      <c r="A587" s="491"/>
      <c r="B587" s="444"/>
      <c r="C587" s="444"/>
      <c r="D587" s="216" t="s">
        <v>1740</v>
      </c>
      <c r="E587" s="491"/>
      <c r="F587" s="304">
        <v>0.29299999999999998</v>
      </c>
      <c r="G587" s="316">
        <v>0.29299999999999998</v>
      </c>
      <c r="H587" s="491"/>
      <c r="I587" s="385" t="s">
        <v>1170</v>
      </c>
      <c r="J587" s="304">
        <v>8338</v>
      </c>
      <c r="K587" s="316">
        <v>0.20930000000000001</v>
      </c>
      <c r="L587" s="304">
        <v>1.4</v>
      </c>
      <c r="M587" s="491"/>
      <c r="N587" s="491"/>
      <c r="O587" s="491"/>
      <c r="P587" s="540"/>
    </row>
    <row r="588" spans="1:16" ht="37.5" x14ac:dyDescent="0.25">
      <c r="A588" s="448"/>
      <c r="B588" s="444"/>
      <c r="C588" s="444"/>
      <c r="D588" s="216" t="s">
        <v>1741</v>
      </c>
      <c r="E588" s="448"/>
      <c r="F588" s="304">
        <v>0.2</v>
      </c>
      <c r="G588" s="316">
        <v>0.2</v>
      </c>
      <c r="H588" s="448"/>
      <c r="I588" s="385" t="s">
        <v>1170</v>
      </c>
      <c r="J588" s="304">
        <v>6640</v>
      </c>
      <c r="K588" s="316">
        <v>0.16669999999999999</v>
      </c>
      <c r="L588" s="304">
        <v>1.2</v>
      </c>
      <c r="M588" s="448"/>
      <c r="N588" s="448"/>
      <c r="O588" s="448"/>
      <c r="P588" s="539"/>
    </row>
    <row r="589" spans="1:16" ht="19.5" x14ac:dyDescent="0.25">
      <c r="A589" s="128"/>
      <c r="B589" s="237" t="s">
        <v>22</v>
      </c>
      <c r="C589" s="120"/>
      <c r="D589" s="216"/>
      <c r="E589" s="107"/>
      <c r="F589" s="391">
        <f>F582+F583+F584+F585+F586+F587+F588</f>
        <v>8.6069999999999993</v>
      </c>
      <c r="G589" s="389">
        <f>G582+G583+G584+G585+G586+G587+G588</f>
        <v>8.6069999999999993</v>
      </c>
      <c r="H589" s="128"/>
      <c r="I589" s="385"/>
      <c r="J589" s="304"/>
      <c r="K589" s="389">
        <f>K582+K583+K584+K585+K586+K587+K588</f>
        <v>2.2412999999999998</v>
      </c>
      <c r="L589" s="304"/>
      <c r="M589" s="128"/>
      <c r="N589" s="128"/>
      <c r="O589" s="128"/>
      <c r="P589" s="231"/>
    </row>
    <row r="590" spans="1:16" ht="37.5" x14ac:dyDescent="0.25">
      <c r="A590" s="128">
        <v>232</v>
      </c>
      <c r="B590" s="120" t="s">
        <v>1742</v>
      </c>
      <c r="C590" s="120" t="s">
        <v>1743</v>
      </c>
      <c r="D590" s="216" t="s">
        <v>1744</v>
      </c>
      <c r="E590" s="107" t="s">
        <v>1742</v>
      </c>
      <c r="F590" s="396">
        <v>0.71057999999999999</v>
      </c>
      <c r="G590" s="316">
        <v>0.71057999999999999</v>
      </c>
      <c r="H590" s="128" t="s">
        <v>1112</v>
      </c>
      <c r="I590" s="385" t="s">
        <v>1170</v>
      </c>
      <c r="J590" s="304">
        <v>4143</v>
      </c>
      <c r="K590" s="316">
        <v>0.105</v>
      </c>
      <c r="L590" s="304">
        <v>6.7</v>
      </c>
      <c r="M590" s="128" t="s">
        <v>1068</v>
      </c>
      <c r="N590" s="128" t="s">
        <v>312</v>
      </c>
      <c r="O590" s="128"/>
      <c r="P590" s="231" t="s">
        <v>1068</v>
      </c>
    </row>
    <row r="591" spans="1:16" ht="19.5" x14ac:dyDescent="0.25">
      <c r="A591" s="128"/>
      <c r="B591" s="237" t="s">
        <v>22</v>
      </c>
      <c r="C591" s="120"/>
      <c r="D591" s="216"/>
      <c r="E591" s="128"/>
      <c r="F591" s="397">
        <f>F590</f>
        <v>0.71057999999999999</v>
      </c>
      <c r="G591" s="389">
        <f>G590</f>
        <v>0.71057999999999999</v>
      </c>
      <c r="H591" s="128"/>
      <c r="I591" s="385"/>
      <c r="J591" s="304"/>
      <c r="K591" s="389">
        <f>K590</f>
        <v>0.105</v>
      </c>
      <c r="L591" s="304"/>
      <c r="M591" s="128"/>
      <c r="N591" s="128"/>
      <c r="O591" s="128"/>
      <c r="P591" s="231"/>
    </row>
    <row r="592" spans="1:16" ht="56.25" x14ac:dyDescent="0.25">
      <c r="A592" s="128">
        <v>233</v>
      </c>
      <c r="B592" s="120" t="s">
        <v>1745</v>
      </c>
      <c r="C592" s="120" t="s">
        <v>1746</v>
      </c>
      <c r="D592" s="242" t="s">
        <v>1747</v>
      </c>
      <c r="E592" s="128" t="s">
        <v>1745</v>
      </c>
      <c r="F592" s="304">
        <v>359.56400000000002</v>
      </c>
      <c r="G592" s="316">
        <v>359.56400000000002</v>
      </c>
      <c r="H592" s="128" t="s">
        <v>1112</v>
      </c>
      <c r="I592" s="385" t="s">
        <v>1170</v>
      </c>
      <c r="J592" s="329">
        <v>83567</v>
      </c>
      <c r="K592" s="332">
        <v>20.664999999999999</v>
      </c>
      <c r="L592" s="329">
        <v>17.399999999999999</v>
      </c>
      <c r="M592" s="128" t="s">
        <v>1068</v>
      </c>
      <c r="N592" s="128" t="s">
        <v>312</v>
      </c>
      <c r="O592" s="128"/>
      <c r="P592" s="231" t="s">
        <v>1068</v>
      </c>
    </row>
    <row r="593" spans="1:16" ht="19.5" x14ac:dyDescent="0.25">
      <c r="A593" s="128"/>
      <c r="B593" s="237" t="s">
        <v>22</v>
      </c>
      <c r="C593" s="120"/>
      <c r="D593" s="120"/>
      <c r="E593" s="304"/>
      <c r="F593" s="88">
        <f>F592</f>
        <v>359.56400000000002</v>
      </c>
      <c r="G593" s="92">
        <f>G592</f>
        <v>359.56400000000002</v>
      </c>
      <c r="H593" s="304"/>
      <c r="I593" s="304"/>
      <c r="J593" s="304"/>
      <c r="K593" s="245">
        <f>K592</f>
        <v>20.664999999999999</v>
      </c>
      <c r="L593" s="128"/>
      <c r="M593" s="128"/>
      <c r="N593" s="128"/>
      <c r="O593" s="128"/>
      <c r="P593" s="231"/>
    </row>
    <row r="594" spans="1:16" ht="56.25" x14ac:dyDescent="0.25">
      <c r="A594" s="128">
        <v>234</v>
      </c>
      <c r="B594" s="121" t="s">
        <v>1748</v>
      </c>
      <c r="C594" s="121" t="s">
        <v>1749</v>
      </c>
      <c r="D594" s="121" t="s">
        <v>1749</v>
      </c>
      <c r="E594" s="101" t="s">
        <v>89</v>
      </c>
      <c r="F594" s="127">
        <v>27248.2</v>
      </c>
      <c r="G594" s="126">
        <v>27248.2</v>
      </c>
      <c r="H594" s="128" t="s">
        <v>427</v>
      </c>
      <c r="I594" s="87" t="s">
        <v>456</v>
      </c>
      <c r="J594" s="93">
        <v>70811309</v>
      </c>
      <c r="K594" s="126">
        <v>1841</v>
      </c>
      <c r="L594" s="128">
        <v>14.8</v>
      </c>
      <c r="M594" s="128" t="s">
        <v>1064</v>
      </c>
      <c r="N594" s="128" t="s">
        <v>312</v>
      </c>
      <c r="O594" s="128">
        <v>2023</v>
      </c>
      <c r="P594" s="231" t="s">
        <v>1064</v>
      </c>
    </row>
    <row r="595" spans="1:16" ht="19.5" x14ac:dyDescent="0.25">
      <c r="A595" s="128"/>
      <c r="B595" s="236" t="s">
        <v>22</v>
      </c>
      <c r="C595" s="231"/>
      <c r="D595" s="231"/>
      <c r="E595" s="193"/>
      <c r="F595" s="130">
        <v>27248.2</v>
      </c>
      <c r="G595" s="245">
        <v>27248.2</v>
      </c>
      <c r="H595" s="128"/>
      <c r="I595" s="87"/>
      <c r="J595" s="128"/>
      <c r="K595" s="245">
        <v>1841</v>
      </c>
      <c r="L595" s="128"/>
      <c r="M595" s="128"/>
      <c r="N595" s="128"/>
      <c r="O595" s="128"/>
      <c r="P595" s="231"/>
    </row>
    <row r="596" spans="1:16" x14ac:dyDescent="0.25">
      <c r="A596" s="128">
        <v>235</v>
      </c>
      <c r="B596" s="121" t="s">
        <v>1668</v>
      </c>
      <c r="C596" s="121" t="s">
        <v>1669</v>
      </c>
      <c r="D596" s="121" t="s">
        <v>1761</v>
      </c>
      <c r="E596" s="128" t="s">
        <v>280</v>
      </c>
      <c r="F596" s="304">
        <v>2.78</v>
      </c>
      <c r="G596" s="316">
        <v>2.78</v>
      </c>
      <c r="H596" s="101" t="s">
        <v>428</v>
      </c>
      <c r="I596" s="87" t="s">
        <v>37</v>
      </c>
      <c r="J596" s="304">
        <v>43.9</v>
      </c>
      <c r="K596" s="316">
        <v>0.54200000000000004</v>
      </c>
      <c r="L596" s="304">
        <v>5.0999999999999996</v>
      </c>
      <c r="M596" s="324" t="s">
        <v>471</v>
      </c>
      <c r="N596" s="101" t="s">
        <v>21</v>
      </c>
      <c r="O596" s="324">
        <v>2023</v>
      </c>
      <c r="P596" s="217" t="s">
        <v>471</v>
      </c>
    </row>
    <row r="597" spans="1:16" ht="19.5" x14ac:dyDescent="0.25">
      <c r="A597" s="324"/>
      <c r="B597" s="507" t="s">
        <v>22</v>
      </c>
      <c r="C597" s="507"/>
      <c r="D597" s="507"/>
      <c r="E597" s="507"/>
      <c r="F597" s="16">
        <f>F596</f>
        <v>2.78</v>
      </c>
      <c r="G597" s="393">
        <f>G596</f>
        <v>2.78</v>
      </c>
      <c r="H597" s="87"/>
      <c r="I597" s="128"/>
      <c r="J597" s="128"/>
      <c r="K597" s="245">
        <f>K596</f>
        <v>0.54200000000000004</v>
      </c>
      <c r="L597" s="128"/>
      <c r="M597" s="324"/>
      <c r="N597" s="324"/>
      <c r="O597" s="324"/>
      <c r="P597" s="218"/>
    </row>
    <row r="598" spans="1:16" x14ac:dyDescent="0.25">
      <c r="A598" s="128">
        <v>236</v>
      </c>
      <c r="B598" s="121" t="s">
        <v>1668</v>
      </c>
      <c r="C598" s="121" t="s">
        <v>1670</v>
      </c>
      <c r="D598" s="121" t="s">
        <v>1761</v>
      </c>
      <c r="E598" s="128" t="s">
        <v>280</v>
      </c>
      <c r="F598" s="304">
        <v>12.6</v>
      </c>
      <c r="G598" s="316">
        <v>12.6</v>
      </c>
      <c r="H598" s="101" t="s">
        <v>428</v>
      </c>
      <c r="I598" s="87" t="s">
        <v>37</v>
      </c>
      <c r="J598" s="304">
        <v>275.60000000000002</v>
      </c>
      <c r="K598" s="316">
        <v>3.59</v>
      </c>
      <c r="L598" s="304">
        <v>3.5</v>
      </c>
      <c r="M598" s="324" t="s">
        <v>471</v>
      </c>
      <c r="N598" s="101" t="s">
        <v>21</v>
      </c>
      <c r="O598" s="324">
        <v>2023</v>
      </c>
      <c r="P598" s="217" t="s">
        <v>471</v>
      </c>
    </row>
    <row r="599" spans="1:16" ht="18" customHeight="1" x14ac:dyDescent="0.25">
      <c r="A599" s="128"/>
      <c r="B599" s="502" t="s">
        <v>22</v>
      </c>
      <c r="C599" s="508"/>
      <c r="D599" s="508"/>
      <c r="E599" s="503"/>
      <c r="F599" s="130">
        <f>F598</f>
        <v>12.6</v>
      </c>
      <c r="G599" s="245">
        <f>G598</f>
        <v>12.6</v>
      </c>
      <c r="H599" s="130"/>
      <c r="I599" s="130"/>
      <c r="J599" s="130"/>
      <c r="K599" s="245">
        <f>K598</f>
        <v>3.59</v>
      </c>
      <c r="L599" s="128"/>
      <c r="M599" s="128"/>
      <c r="N599" s="128"/>
      <c r="O599" s="128"/>
      <c r="P599" s="231"/>
    </row>
    <row r="600" spans="1:16" s="221" customFormat="1" ht="46.9" customHeight="1" x14ac:dyDescent="0.25">
      <c r="A600" s="128">
        <v>237</v>
      </c>
      <c r="B600" s="121" t="s">
        <v>1711</v>
      </c>
      <c r="C600" s="121" t="s">
        <v>1712</v>
      </c>
      <c r="D600" s="121" t="s">
        <v>1713</v>
      </c>
      <c r="E600" s="101" t="s">
        <v>380</v>
      </c>
      <c r="F600" s="304">
        <v>6.2750000000000004</v>
      </c>
      <c r="G600" s="316">
        <v>6.2750000000000004</v>
      </c>
      <c r="H600" s="101" t="s">
        <v>1046</v>
      </c>
      <c r="I600" s="101" t="s">
        <v>37</v>
      </c>
      <c r="J600" s="304">
        <v>152.30000000000001</v>
      </c>
      <c r="K600" s="316">
        <v>2.024</v>
      </c>
      <c r="L600" s="304">
        <v>3.1</v>
      </c>
      <c r="M600" s="101" t="s">
        <v>499</v>
      </c>
      <c r="N600" s="101" t="s">
        <v>312</v>
      </c>
      <c r="O600" s="101">
        <v>2020</v>
      </c>
      <c r="P600" s="168" t="s">
        <v>499</v>
      </c>
    </row>
    <row r="601" spans="1:16" s="221" customFormat="1" ht="22.5" customHeight="1" x14ac:dyDescent="0.25">
      <c r="A601" s="128"/>
      <c r="B601" s="502" t="s">
        <v>22</v>
      </c>
      <c r="C601" s="503"/>
      <c r="D601" s="195"/>
      <c r="E601" s="128"/>
      <c r="F601" s="341">
        <f>F600</f>
        <v>6.2750000000000004</v>
      </c>
      <c r="G601" s="245">
        <f>G600</f>
        <v>6.2750000000000004</v>
      </c>
      <c r="H601" s="128"/>
      <c r="I601" s="128"/>
      <c r="J601" s="341"/>
      <c r="K601" s="245">
        <f>K600</f>
        <v>2.024</v>
      </c>
      <c r="L601" s="341"/>
      <c r="M601" s="128"/>
      <c r="N601" s="128"/>
      <c r="O601" s="128"/>
      <c r="P601" s="231"/>
    </row>
    <row r="602" spans="1:16" s="221" customFormat="1" ht="51" customHeight="1" x14ac:dyDescent="0.25">
      <c r="A602" s="128">
        <v>238</v>
      </c>
      <c r="B602" s="121" t="s">
        <v>1711</v>
      </c>
      <c r="C602" s="121" t="s">
        <v>1714</v>
      </c>
      <c r="D602" s="121" t="s">
        <v>1713</v>
      </c>
      <c r="E602" s="101" t="s">
        <v>380</v>
      </c>
      <c r="F602" s="304">
        <v>7.1360000000000001</v>
      </c>
      <c r="G602" s="316">
        <v>7.1360000000000001</v>
      </c>
      <c r="H602" s="101" t="s">
        <v>1046</v>
      </c>
      <c r="I602" s="101" t="s">
        <v>37</v>
      </c>
      <c r="J602" s="304">
        <v>145.69999999999999</v>
      </c>
      <c r="K602" s="316">
        <v>1.923</v>
      </c>
      <c r="L602" s="304">
        <v>3.7</v>
      </c>
      <c r="M602" s="101" t="s">
        <v>499</v>
      </c>
      <c r="N602" s="101" t="s">
        <v>312</v>
      </c>
      <c r="O602" s="101">
        <v>2020</v>
      </c>
      <c r="P602" s="168" t="s">
        <v>499</v>
      </c>
    </row>
    <row r="603" spans="1:16" ht="19.5" x14ac:dyDescent="0.25">
      <c r="A603" s="128"/>
      <c r="B603" s="502" t="s">
        <v>22</v>
      </c>
      <c r="C603" s="503"/>
      <c r="D603" s="195"/>
      <c r="E603" s="128"/>
      <c r="F603" s="130">
        <f>F602</f>
        <v>7.1360000000000001</v>
      </c>
      <c r="G603" s="245">
        <f>G602</f>
        <v>7.1360000000000001</v>
      </c>
      <c r="H603" s="128"/>
      <c r="I603" s="127"/>
      <c r="J603" s="128"/>
      <c r="K603" s="245">
        <f>K602</f>
        <v>1.923</v>
      </c>
      <c r="L603" s="128"/>
      <c r="M603" s="128"/>
      <c r="N603" s="128"/>
      <c r="O603" s="128"/>
      <c r="P603" s="231"/>
    </row>
    <row r="604" spans="1:16" ht="39" customHeight="1" x14ac:dyDescent="0.25">
      <c r="A604" s="128">
        <v>239</v>
      </c>
      <c r="B604" s="121" t="s">
        <v>1711</v>
      </c>
      <c r="C604" s="121" t="s">
        <v>1715</v>
      </c>
      <c r="D604" s="121" t="s">
        <v>1713</v>
      </c>
      <c r="E604" s="101" t="s">
        <v>380</v>
      </c>
      <c r="F604" s="304">
        <v>6.1390000000000002</v>
      </c>
      <c r="G604" s="316">
        <v>6.1390000000000002</v>
      </c>
      <c r="H604" s="101" t="s">
        <v>1046</v>
      </c>
      <c r="I604" s="101" t="s">
        <v>37</v>
      </c>
      <c r="J604" s="304">
        <v>158.6</v>
      </c>
      <c r="K604" s="316">
        <v>2.1</v>
      </c>
      <c r="L604" s="304">
        <v>3.4</v>
      </c>
      <c r="M604" s="101" t="s">
        <v>499</v>
      </c>
      <c r="N604" s="101" t="s">
        <v>312</v>
      </c>
      <c r="O604" s="101">
        <v>2020</v>
      </c>
      <c r="P604" s="168" t="s">
        <v>499</v>
      </c>
    </row>
    <row r="605" spans="1:16" ht="19.5" x14ac:dyDescent="0.25">
      <c r="A605" s="128"/>
      <c r="B605" s="502" t="s">
        <v>22</v>
      </c>
      <c r="C605" s="503"/>
      <c r="D605" s="195"/>
      <c r="E605" s="128"/>
      <c r="F605" s="130">
        <f>F604</f>
        <v>6.1390000000000002</v>
      </c>
      <c r="G605" s="245">
        <f>G604</f>
        <v>6.1390000000000002</v>
      </c>
      <c r="H605" s="128"/>
      <c r="I605" s="128"/>
      <c r="J605" s="128"/>
      <c r="K605" s="245">
        <f>K604</f>
        <v>2.1</v>
      </c>
      <c r="L605" s="128"/>
      <c r="M605" s="128"/>
      <c r="N605" s="128"/>
      <c r="O605" s="128"/>
      <c r="P605" s="231"/>
    </row>
    <row r="606" spans="1:16" ht="40.35" customHeight="1" x14ac:dyDescent="0.25">
      <c r="A606" s="128">
        <v>240</v>
      </c>
      <c r="B606" s="121" t="s">
        <v>1711</v>
      </c>
      <c r="C606" s="121" t="s">
        <v>1716</v>
      </c>
      <c r="D606" s="121" t="s">
        <v>1713</v>
      </c>
      <c r="E606" s="101" t="s">
        <v>380</v>
      </c>
      <c r="F606" s="304">
        <v>94.590999999999994</v>
      </c>
      <c r="G606" s="316">
        <v>94.590999999999994</v>
      </c>
      <c r="H606" s="101" t="s">
        <v>1046</v>
      </c>
      <c r="I606" s="101" t="s">
        <v>37</v>
      </c>
      <c r="J606" s="304">
        <v>1661</v>
      </c>
      <c r="K606" s="316">
        <v>21.998000000000001</v>
      </c>
      <c r="L606" s="304">
        <v>4.3</v>
      </c>
      <c r="M606" s="101" t="s">
        <v>499</v>
      </c>
      <c r="N606" s="101" t="s">
        <v>312</v>
      </c>
      <c r="O606" s="101">
        <v>2020</v>
      </c>
      <c r="P606" s="168" t="s">
        <v>499</v>
      </c>
    </row>
    <row r="607" spans="1:16" ht="19.5" x14ac:dyDescent="0.25">
      <c r="A607" s="128"/>
      <c r="B607" s="502" t="s">
        <v>22</v>
      </c>
      <c r="C607" s="503"/>
      <c r="D607" s="195"/>
      <c r="E607" s="128"/>
      <c r="F607" s="130">
        <f>F606</f>
        <v>94.590999999999994</v>
      </c>
      <c r="G607" s="245">
        <f>G606</f>
        <v>94.590999999999994</v>
      </c>
      <c r="H607" s="128"/>
      <c r="I607" s="128"/>
      <c r="J607" s="128"/>
      <c r="K607" s="245">
        <f>K606</f>
        <v>21.998000000000001</v>
      </c>
      <c r="L607" s="128"/>
      <c r="M607" s="128"/>
      <c r="N607" s="128"/>
      <c r="O607" s="128"/>
      <c r="P607" s="231"/>
    </row>
    <row r="608" spans="1:16" ht="44.1" customHeight="1" x14ac:dyDescent="0.25">
      <c r="A608" s="128">
        <v>241</v>
      </c>
      <c r="B608" s="121" t="s">
        <v>1711</v>
      </c>
      <c r="C608" s="121" t="s">
        <v>1717</v>
      </c>
      <c r="D608" s="121" t="s">
        <v>1713</v>
      </c>
      <c r="E608" s="101" t="s">
        <v>380</v>
      </c>
      <c r="F608" s="304">
        <v>6.4269999999999996</v>
      </c>
      <c r="G608" s="316">
        <v>6.4269999999999996</v>
      </c>
      <c r="H608" s="101" t="s">
        <v>1046</v>
      </c>
      <c r="I608" s="101" t="s">
        <v>37</v>
      </c>
      <c r="J608" s="304">
        <v>138.69999999999999</v>
      </c>
      <c r="K608" s="316">
        <v>1.8360000000000001</v>
      </c>
      <c r="L608" s="304">
        <v>3.5</v>
      </c>
      <c r="M608" s="101" t="s">
        <v>499</v>
      </c>
      <c r="N608" s="101" t="s">
        <v>312</v>
      </c>
      <c r="O608" s="101">
        <v>2020</v>
      </c>
      <c r="P608" s="168" t="s">
        <v>499</v>
      </c>
    </row>
    <row r="609" spans="1:16" ht="19.5" x14ac:dyDescent="0.25">
      <c r="A609" s="128"/>
      <c r="B609" s="502" t="s">
        <v>22</v>
      </c>
      <c r="C609" s="503"/>
      <c r="D609" s="195"/>
      <c r="E609" s="128"/>
      <c r="F609" s="130">
        <f>F608</f>
        <v>6.4269999999999996</v>
      </c>
      <c r="G609" s="245">
        <f>G608</f>
        <v>6.4269999999999996</v>
      </c>
      <c r="H609" s="128"/>
      <c r="I609" s="128"/>
      <c r="J609" s="128"/>
      <c r="K609" s="245">
        <f>K608</f>
        <v>1.8360000000000001</v>
      </c>
      <c r="L609" s="128"/>
      <c r="M609" s="128"/>
      <c r="N609" s="128"/>
      <c r="O609" s="128"/>
      <c r="P609" s="231"/>
    </row>
    <row r="610" spans="1:16" ht="36" customHeight="1" x14ac:dyDescent="0.25">
      <c r="A610" s="128">
        <v>242</v>
      </c>
      <c r="B610" s="121" t="s">
        <v>1711</v>
      </c>
      <c r="C610" s="121" t="s">
        <v>1718</v>
      </c>
      <c r="D610" s="121" t="s">
        <v>1713</v>
      </c>
      <c r="E610" s="101" t="s">
        <v>380</v>
      </c>
      <c r="F610" s="304">
        <v>83.775000000000006</v>
      </c>
      <c r="G610" s="316">
        <v>83.775000000000006</v>
      </c>
      <c r="H610" s="101" t="s">
        <v>1046</v>
      </c>
      <c r="I610" s="101" t="s">
        <v>37</v>
      </c>
      <c r="J610" s="304">
        <v>1291.5999999999999</v>
      </c>
      <c r="K610" s="316">
        <v>17.097000000000001</v>
      </c>
      <c r="L610" s="304">
        <v>4.9000000000000004</v>
      </c>
      <c r="M610" s="101" t="s">
        <v>499</v>
      </c>
      <c r="N610" s="101" t="s">
        <v>312</v>
      </c>
      <c r="O610" s="101">
        <v>2020</v>
      </c>
      <c r="P610" s="168" t="s">
        <v>499</v>
      </c>
    </row>
    <row r="611" spans="1:16" ht="19.5" x14ac:dyDescent="0.25">
      <c r="A611" s="128"/>
      <c r="B611" s="502" t="s">
        <v>22</v>
      </c>
      <c r="C611" s="503"/>
      <c r="D611" s="195"/>
      <c r="E611" s="128"/>
      <c r="F611" s="130">
        <f>F610</f>
        <v>83.775000000000006</v>
      </c>
      <c r="G611" s="245">
        <f>G610</f>
        <v>83.775000000000006</v>
      </c>
      <c r="H611" s="128"/>
      <c r="I611" s="128"/>
      <c r="J611" s="128"/>
      <c r="K611" s="245">
        <f>K610</f>
        <v>17.097000000000001</v>
      </c>
      <c r="L611" s="128"/>
      <c r="M611" s="128"/>
      <c r="N611" s="128"/>
      <c r="O611" s="128"/>
      <c r="P611" s="231"/>
    </row>
    <row r="612" spans="1:16" ht="35.65" customHeight="1" x14ac:dyDescent="0.25">
      <c r="A612" s="128">
        <v>243</v>
      </c>
      <c r="B612" s="121" t="s">
        <v>1711</v>
      </c>
      <c r="C612" s="121" t="s">
        <v>1719</v>
      </c>
      <c r="D612" s="121" t="s">
        <v>1713</v>
      </c>
      <c r="E612" s="101" t="s">
        <v>380</v>
      </c>
      <c r="F612" s="316">
        <v>126.36499999999999</v>
      </c>
      <c r="G612" s="316">
        <v>126.36499999999999</v>
      </c>
      <c r="H612" s="101" t="s">
        <v>1046</v>
      </c>
      <c r="I612" s="101" t="s">
        <v>37</v>
      </c>
      <c r="J612" s="330">
        <v>1646</v>
      </c>
      <c r="K612" s="333">
        <v>21.786999999999999</v>
      </c>
      <c r="L612" s="330">
        <v>5.8</v>
      </c>
      <c r="M612" s="101" t="s">
        <v>499</v>
      </c>
      <c r="N612" s="101" t="s">
        <v>312</v>
      </c>
      <c r="O612" s="101">
        <v>2020</v>
      </c>
      <c r="P612" s="168" t="s">
        <v>499</v>
      </c>
    </row>
    <row r="613" spans="1:16" ht="24" customHeight="1" x14ac:dyDescent="0.25">
      <c r="A613" s="128"/>
      <c r="B613" s="502" t="s">
        <v>22</v>
      </c>
      <c r="C613" s="503"/>
      <c r="D613" s="195"/>
      <c r="E613" s="128"/>
      <c r="F613" s="130">
        <f>F612</f>
        <v>126.36499999999999</v>
      </c>
      <c r="G613" s="245">
        <f>G612</f>
        <v>126.36499999999999</v>
      </c>
      <c r="H613" s="128"/>
      <c r="I613" s="128"/>
      <c r="J613" s="128"/>
      <c r="K613" s="245">
        <f>K612</f>
        <v>21.786999999999999</v>
      </c>
      <c r="L613" s="128"/>
      <c r="M613" s="128"/>
      <c r="N613" s="128"/>
      <c r="O613" s="128"/>
      <c r="P613" s="231"/>
    </row>
    <row r="614" spans="1:16" ht="54" customHeight="1" x14ac:dyDescent="0.25">
      <c r="A614" s="128">
        <v>244</v>
      </c>
      <c r="B614" s="121" t="s">
        <v>1711</v>
      </c>
      <c r="C614" s="121" t="s">
        <v>1720</v>
      </c>
      <c r="D614" s="121" t="s">
        <v>1713</v>
      </c>
      <c r="E614" s="101" t="s">
        <v>380</v>
      </c>
      <c r="F614" s="304">
        <v>6.7279999999999998</v>
      </c>
      <c r="G614" s="316">
        <v>6.7279999999999998</v>
      </c>
      <c r="H614" s="101" t="s">
        <v>1046</v>
      </c>
      <c r="I614" s="101" t="s">
        <v>37</v>
      </c>
      <c r="J614" s="304">
        <v>158.80000000000001</v>
      </c>
      <c r="K614" s="316">
        <v>2.1030000000000002</v>
      </c>
      <c r="L614" s="304">
        <v>3.2</v>
      </c>
      <c r="M614" s="101" t="s">
        <v>499</v>
      </c>
      <c r="N614" s="101" t="s">
        <v>312</v>
      </c>
      <c r="O614" s="101">
        <v>2020</v>
      </c>
      <c r="P614" s="168" t="s">
        <v>499</v>
      </c>
    </row>
    <row r="615" spans="1:16" ht="21.95" customHeight="1" x14ac:dyDescent="0.25">
      <c r="A615" s="128"/>
      <c r="B615" s="502" t="s">
        <v>22</v>
      </c>
      <c r="C615" s="503"/>
      <c r="D615" s="195"/>
      <c r="E615" s="128"/>
      <c r="F615" s="130">
        <f>F614</f>
        <v>6.7279999999999998</v>
      </c>
      <c r="G615" s="245">
        <f>G614</f>
        <v>6.7279999999999998</v>
      </c>
      <c r="H615" s="128"/>
      <c r="I615" s="128"/>
      <c r="J615" s="128"/>
      <c r="K615" s="245">
        <f>K614</f>
        <v>2.1030000000000002</v>
      </c>
      <c r="L615" s="128"/>
      <c r="M615" s="128"/>
      <c r="N615" s="128"/>
      <c r="O615" s="128"/>
      <c r="P615" s="231"/>
    </row>
    <row r="616" spans="1:16" s="227" customFormat="1" ht="20.25" x14ac:dyDescent="0.25">
      <c r="A616" s="159"/>
      <c r="B616" s="220" t="s">
        <v>1656</v>
      </c>
      <c r="C616" s="509"/>
      <c r="D616" s="510"/>
      <c r="E616" s="159" t="s">
        <v>1764</v>
      </c>
      <c r="F616" s="384">
        <f>F538+F540+F542+F546+F549+F551+F553+F558+F561+F564+F566+F568+F570+F572+F575+F579+F581+F589+F591+F593+F595+F597+F599+F601+F603+F605+F607+F609+F611+F613+F615</f>
        <v>28912.89158</v>
      </c>
      <c r="G616" s="306">
        <f>G538+G540+G542+G546+G549+G551+G553+G558+G561+G564+G566+G568+G570+G572+G575+G579+G581+G589+G591+G593+G595+G597+G599+G601+G603+G605+G607+G609+G611+G613+G615</f>
        <v>28912.89158</v>
      </c>
      <c r="H616" s="384"/>
      <c r="I616" s="384"/>
      <c r="J616" s="384"/>
      <c r="K616" s="306">
        <f t="shared" ref="K616" si="0">K538+K540+K542+K546+K549+K551+K553+K558+K561+K564+K566+K568+K570+K572+K575+K579+K581+K589+K591+K593+K595+K597+K599+K601+K603+K605+K607+K609+K611+K613+K615</f>
        <v>2216.4635999999996</v>
      </c>
      <c r="L616" s="159"/>
      <c r="M616" s="159"/>
      <c r="N616" s="159"/>
      <c r="O616" s="159"/>
      <c r="P616" s="224"/>
    </row>
    <row r="617" spans="1:16" ht="37.9" customHeight="1" x14ac:dyDescent="0.25">
      <c r="A617" s="128">
        <v>245</v>
      </c>
      <c r="B617" s="121" t="s">
        <v>1748</v>
      </c>
      <c r="C617" s="121" t="s">
        <v>1773</v>
      </c>
      <c r="D617" s="121" t="s">
        <v>1774</v>
      </c>
      <c r="E617" s="101" t="s">
        <v>1794</v>
      </c>
      <c r="F617" s="316">
        <v>18351.679</v>
      </c>
      <c r="G617" s="316">
        <v>18352.679</v>
      </c>
      <c r="H617" s="101" t="s">
        <v>427</v>
      </c>
      <c r="I617" s="101" t="s">
        <v>1170</v>
      </c>
      <c r="J617" s="304">
        <v>7290000</v>
      </c>
      <c r="K617" s="316">
        <v>240.57</v>
      </c>
      <c r="L617" s="304">
        <v>5</v>
      </c>
      <c r="M617" s="101" t="s">
        <v>1064</v>
      </c>
      <c r="N617" s="101" t="s">
        <v>312</v>
      </c>
      <c r="O617" s="101">
        <v>2023</v>
      </c>
      <c r="P617" s="168" t="s">
        <v>1795</v>
      </c>
    </row>
    <row r="618" spans="1:16" ht="22.15" customHeight="1" x14ac:dyDescent="0.25">
      <c r="A618" s="128"/>
      <c r="B618" s="502" t="s">
        <v>22</v>
      </c>
      <c r="C618" s="503"/>
      <c r="D618" s="195"/>
      <c r="E618" s="128"/>
      <c r="F618" s="245">
        <f>F617</f>
        <v>18351.679</v>
      </c>
      <c r="G618" s="245">
        <f>G617</f>
        <v>18352.679</v>
      </c>
      <c r="H618" s="128"/>
      <c r="I618" s="128"/>
      <c r="J618" s="128"/>
      <c r="K618" s="245">
        <f>K617</f>
        <v>240.57</v>
      </c>
      <c r="L618" s="128"/>
      <c r="M618" s="128"/>
      <c r="N618" s="128"/>
      <c r="O618" s="128"/>
      <c r="P618" s="231"/>
    </row>
    <row r="619" spans="1:16" ht="74.650000000000006" customHeight="1" x14ac:dyDescent="0.25">
      <c r="A619" s="128">
        <v>246</v>
      </c>
      <c r="B619" s="121" t="s">
        <v>1775</v>
      </c>
      <c r="C619" s="121" t="s">
        <v>1779</v>
      </c>
      <c r="D619" s="121" t="s">
        <v>1779</v>
      </c>
      <c r="E619" s="101" t="s">
        <v>1796</v>
      </c>
      <c r="F619" s="316">
        <v>177.99345600000001</v>
      </c>
      <c r="G619" s="316">
        <v>178.99345600000001</v>
      </c>
      <c r="H619" s="101" t="s">
        <v>427</v>
      </c>
      <c r="I619" s="101" t="s">
        <v>1776</v>
      </c>
      <c r="J619" s="304">
        <v>643358</v>
      </c>
      <c r="K619" s="316">
        <v>18.078340000000001</v>
      </c>
      <c r="L619" s="304">
        <v>5</v>
      </c>
      <c r="M619" s="101" t="s">
        <v>1777</v>
      </c>
      <c r="N619" s="101" t="s">
        <v>21</v>
      </c>
      <c r="O619" s="101">
        <v>2022</v>
      </c>
      <c r="P619" s="168" t="s">
        <v>1795</v>
      </c>
    </row>
    <row r="620" spans="1:16" ht="22.15" customHeight="1" x14ac:dyDescent="0.25">
      <c r="A620" s="128"/>
      <c r="B620" s="502" t="s">
        <v>22</v>
      </c>
      <c r="C620" s="503"/>
      <c r="D620" s="195"/>
      <c r="E620" s="128"/>
      <c r="F620" s="245">
        <f>F619</f>
        <v>177.99345600000001</v>
      </c>
      <c r="G620" s="245">
        <f>G619</f>
        <v>178.99345600000001</v>
      </c>
      <c r="H620" s="128"/>
      <c r="I620" s="128"/>
      <c r="J620" s="128"/>
      <c r="K620" s="245">
        <f>K619</f>
        <v>18.078340000000001</v>
      </c>
      <c r="L620" s="128"/>
      <c r="M620" s="128"/>
      <c r="N620" s="128"/>
      <c r="O620" s="128"/>
      <c r="P620" s="231"/>
    </row>
    <row r="621" spans="1:16" ht="71.099999999999994" customHeight="1" x14ac:dyDescent="0.25">
      <c r="A621" s="128">
        <v>247</v>
      </c>
      <c r="B621" s="121" t="s">
        <v>1775</v>
      </c>
      <c r="C621" s="121" t="s">
        <v>1780</v>
      </c>
      <c r="D621" s="121" t="s">
        <v>1780</v>
      </c>
      <c r="E621" s="101" t="s">
        <v>1796</v>
      </c>
      <c r="F621" s="316">
        <v>176.298327</v>
      </c>
      <c r="G621" s="316">
        <v>177.298327</v>
      </c>
      <c r="H621" s="101" t="s">
        <v>427</v>
      </c>
      <c r="I621" s="101" t="s">
        <v>1776</v>
      </c>
      <c r="J621" s="304">
        <v>649884</v>
      </c>
      <c r="K621" s="316">
        <v>18.261728000000002</v>
      </c>
      <c r="L621" s="304">
        <v>5</v>
      </c>
      <c r="M621" s="101" t="s">
        <v>1777</v>
      </c>
      <c r="N621" s="101" t="s">
        <v>21</v>
      </c>
      <c r="O621" s="101">
        <v>2022</v>
      </c>
      <c r="P621" s="168" t="s">
        <v>1795</v>
      </c>
    </row>
    <row r="622" spans="1:16" ht="22.15" customHeight="1" x14ac:dyDescent="0.25">
      <c r="A622" s="128"/>
      <c r="B622" s="502" t="s">
        <v>22</v>
      </c>
      <c r="C622" s="503"/>
      <c r="D622" s="195"/>
      <c r="E622" s="128"/>
      <c r="F622" s="245">
        <f>F621</f>
        <v>176.298327</v>
      </c>
      <c r="G622" s="245">
        <f>G621</f>
        <v>177.298327</v>
      </c>
      <c r="H622" s="128"/>
      <c r="I622" s="128"/>
      <c r="J622" s="128"/>
      <c r="K622" s="245">
        <f>K621</f>
        <v>18.261728000000002</v>
      </c>
      <c r="L622" s="128"/>
      <c r="M622" s="128"/>
      <c r="N622" s="128"/>
      <c r="O622" s="128"/>
      <c r="P622" s="231"/>
    </row>
    <row r="623" spans="1:16" ht="74.650000000000006" customHeight="1" x14ac:dyDescent="0.25">
      <c r="A623" s="128">
        <v>248</v>
      </c>
      <c r="B623" s="121" t="s">
        <v>1775</v>
      </c>
      <c r="C623" s="121" t="s">
        <v>1781</v>
      </c>
      <c r="D623" s="121" t="s">
        <v>1781</v>
      </c>
      <c r="E623" s="101" t="s">
        <v>1796</v>
      </c>
      <c r="F623" s="316">
        <v>130.90928600000001</v>
      </c>
      <c r="G623" s="316">
        <v>131.90928600000001</v>
      </c>
      <c r="H623" s="101" t="s">
        <v>427</v>
      </c>
      <c r="I623" s="101" t="s">
        <v>1776</v>
      </c>
      <c r="J623" s="304">
        <v>460040</v>
      </c>
      <c r="K623" s="316">
        <v>12.927110000000001</v>
      </c>
      <c r="L623" s="304">
        <v>5</v>
      </c>
      <c r="M623" s="101" t="s">
        <v>1777</v>
      </c>
      <c r="N623" s="101" t="s">
        <v>21</v>
      </c>
      <c r="O623" s="101">
        <v>2022</v>
      </c>
      <c r="P623" s="168" t="s">
        <v>1795</v>
      </c>
    </row>
    <row r="624" spans="1:16" ht="22.15" customHeight="1" x14ac:dyDescent="0.25">
      <c r="A624" s="128"/>
      <c r="B624" s="502" t="s">
        <v>22</v>
      </c>
      <c r="C624" s="503"/>
      <c r="D624" s="195"/>
      <c r="E624" s="128"/>
      <c r="F624" s="245">
        <f>F623</f>
        <v>130.90928600000001</v>
      </c>
      <c r="G624" s="245">
        <f>G623</f>
        <v>131.90928600000001</v>
      </c>
      <c r="H624" s="128"/>
      <c r="I624" s="128"/>
      <c r="J624" s="128"/>
      <c r="K624" s="245">
        <f>K623</f>
        <v>12.927110000000001</v>
      </c>
      <c r="L624" s="128"/>
      <c r="M624" s="128"/>
      <c r="N624" s="128"/>
      <c r="O624" s="128"/>
      <c r="P624" s="231"/>
    </row>
    <row r="625" spans="1:16" ht="74.650000000000006" customHeight="1" x14ac:dyDescent="0.25">
      <c r="A625" s="128">
        <v>249</v>
      </c>
      <c r="B625" s="121" t="s">
        <v>1775</v>
      </c>
      <c r="C625" s="121" t="s">
        <v>1778</v>
      </c>
      <c r="D625" s="121" t="s">
        <v>1778</v>
      </c>
      <c r="E625" s="101" t="s">
        <v>1796</v>
      </c>
      <c r="F625" s="316">
        <v>133.884422</v>
      </c>
      <c r="G625" s="316">
        <v>134.884422</v>
      </c>
      <c r="H625" s="101" t="s">
        <v>427</v>
      </c>
      <c r="I625" s="101" t="s">
        <v>1776</v>
      </c>
      <c r="J625" s="304">
        <v>464248</v>
      </c>
      <c r="K625" s="316">
        <v>13.045379000000001</v>
      </c>
      <c r="L625" s="304">
        <v>5</v>
      </c>
      <c r="M625" s="101" t="s">
        <v>1777</v>
      </c>
      <c r="N625" s="101" t="s">
        <v>21</v>
      </c>
      <c r="O625" s="101">
        <v>2022</v>
      </c>
      <c r="P625" s="168" t="s">
        <v>1795</v>
      </c>
    </row>
    <row r="626" spans="1:16" ht="22.15" customHeight="1" x14ac:dyDescent="0.25">
      <c r="A626" s="128"/>
      <c r="B626" s="502" t="s">
        <v>22</v>
      </c>
      <c r="C626" s="503"/>
      <c r="D626" s="195"/>
      <c r="E626" s="128"/>
      <c r="F626" s="245">
        <f>F625</f>
        <v>133.884422</v>
      </c>
      <c r="G626" s="245">
        <f>G625</f>
        <v>134.884422</v>
      </c>
      <c r="H626" s="128"/>
      <c r="I626" s="128"/>
      <c r="J626" s="128"/>
      <c r="K626" s="245">
        <f>K625</f>
        <v>13.045379000000001</v>
      </c>
      <c r="L626" s="128"/>
      <c r="M626" s="128"/>
      <c r="N626" s="128"/>
      <c r="O626" s="128"/>
      <c r="P626" s="231"/>
    </row>
    <row r="627" spans="1:16" ht="80.650000000000006" customHeight="1" x14ac:dyDescent="0.25">
      <c r="A627" s="128">
        <v>250</v>
      </c>
      <c r="B627" s="121" t="s">
        <v>1775</v>
      </c>
      <c r="C627" s="121" t="s">
        <v>1782</v>
      </c>
      <c r="D627" s="121" t="s">
        <v>1782</v>
      </c>
      <c r="E627" s="101" t="s">
        <v>1796</v>
      </c>
      <c r="F627" s="316">
        <v>159.13992099999999</v>
      </c>
      <c r="G627" s="316">
        <v>160.13992099999999</v>
      </c>
      <c r="H627" s="101" t="s">
        <v>427</v>
      </c>
      <c r="I627" s="101" t="s">
        <v>1776</v>
      </c>
      <c r="J627" s="304">
        <v>564194</v>
      </c>
      <c r="K627" s="316">
        <v>15.853852</v>
      </c>
      <c r="L627" s="304">
        <v>5</v>
      </c>
      <c r="M627" s="101" t="s">
        <v>1777</v>
      </c>
      <c r="N627" s="101" t="s">
        <v>21</v>
      </c>
      <c r="O627" s="101">
        <v>2022</v>
      </c>
      <c r="P627" s="168" t="s">
        <v>1795</v>
      </c>
    </row>
    <row r="628" spans="1:16" ht="22.15" customHeight="1" x14ac:dyDescent="0.25">
      <c r="A628" s="128"/>
      <c r="B628" s="502" t="s">
        <v>22</v>
      </c>
      <c r="C628" s="503"/>
      <c r="D628" s="195"/>
      <c r="E628" s="128"/>
      <c r="F628" s="245">
        <f>F627</f>
        <v>159.13992099999999</v>
      </c>
      <c r="G628" s="245">
        <f>G627</f>
        <v>160.13992099999999</v>
      </c>
      <c r="H628" s="128"/>
      <c r="I628" s="128"/>
      <c r="J628" s="128"/>
      <c r="K628" s="245">
        <f>K627</f>
        <v>15.853852</v>
      </c>
      <c r="L628" s="128"/>
      <c r="M628" s="128"/>
      <c r="N628" s="128"/>
      <c r="O628" s="128"/>
      <c r="P628" s="231"/>
    </row>
    <row r="629" spans="1:16" ht="70.349999999999994" customHeight="1" x14ac:dyDescent="0.25">
      <c r="A629" s="128">
        <v>251</v>
      </c>
      <c r="B629" s="121" t="s">
        <v>1775</v>
      </c>
      <c r="C629" s="121" t="s">
        <v>1783</v>
      </c>
      <c r="D629" s="121" t="s">
        <v>1783</v>
      </c>
      <c r="E629" s="101" t="s">
        <v>1796</v>
      </c>
      <c r="F629" s="316">
        <v>160.408501</v>
      </c>
      <c r="G629" s="316">
        <v>161.408501</v>
      </c>
      <c r="H629" s="101" t="s">
        <v>427</v>
      </c>
      <c r="I629" s="101" t="s">
        <v>1776</v>
      </c>
      <c r="J629" s="304">
        <v>568663</v>
      </c>
      <c r="K629" s="316">
        <v>15.979442000000001</v>
      </c>
      <c r="L629" s="304">
        <v>5</v>
      </c>
      <c r="M629" s="101" t="s">
        <v>1777</v>
      </c>
      <c r="N629" s="101" t="s">
        <v>21</v>
      </c>
      <c r="O629" s="101">
        <v>2022</v>
      </c>
      <c r="P629" s="168" t="s">
        <v>1795</v>
      </c>
    </row>
    <row r="630" spans="1:16" ht="22.15" customHeight="1" x14ac:dyDescent="0.25">
      <c r="A630" s="128"/>
      <c r="B630" s="502" t="s">
        <v>22</v>
      </c>
      <c r="C630" s="503"/>
      <c r="D630" s="195"/>
      <c r="E630" s="128"/>
      <c r="F630" s="245">
        <f>F629</f>
        <v>160.408501</v>
      </c>
      <c r="G630" s="245">
        <f>G629</f>
        <v>161.408501</v>
      </c>
      <c r="H630" s="128"/>
      <c r="I630" s="128"/>
      <c r="J630" s="128"/>
      <c r="K630" s="245">
        <f>K629</f>
        <v>15.979442000000001</v>
      </c>
      <c r="L630" s="128"/>
      <c r="M630" s="128"/>
      <c r="N630" s="128"/>
      <c r="O630" s="128"/>
      <c r="P630" s="231"/>
    </row>
    <row r="631" spans="1:16" ht="36.950000000000003" customHeight="1" x14ac:dyDescent="0.25">
      <c r="A631" s="128">
        <v>252</v>
      </c>
      <c r="B631" s="121" t="s">
        <v>1711</v>
      </c>
      <c r="C631" s="121" t="s">
        <v>1784</v>
      </c>
      <c r="D631" s="121" t="s">
        <v>1147</v>
      </c>
      <c r="E631" s="101" t="s">
        <v>380</v>
      </c>
      <c r="F631" s="316">
        <v>4.6736700000000004</v>
      </c>
      <c r="G631" s="316">
        <v>5.6736700000000004</v>
      </c>
      <c r="H631" s="101" t="s">
        <v>1046</v>
      </c>
      <c r="I631" s="101" t="s">
        <v>1785</v>
      </c>
      <c r="J631" s="304">
        <v>117.6</v>
      </c>
      <c r="K631" s="316">
        <v>1.9760930000000001</v>
      </c>
      <c r="L631" s="304">
        <v>2.8</v>
      </c>
      <c r="M631" s="101" t="s">
        <v>499</v>
      </c>
      <c r="N631" s="101" t="s">
        <v>21</v>
      </c>
      <c r="O631" s="101">
        <v>2020</v>
      </c>
      <c r="P631" s="168" t="s">
        <v>1797</v>
      </c>
    </row>
    <row r="632" spans="1:16" ht="22.15" customHeight="1" x14ac:dyDescent="0.25">
      <c r="A632" s="128"/>
      <c r="B632" s="502" t="s">
        <v>22</v>
      </c>
      <c r="C632" s="503"/>
      <c r="D632" s="195"/>
      <c r="E632" s="128"/>
      <c r="F632" s="245">
        <f>F631</f>
        <v>4.6736700000000004</v>
      </c>
      <c r="G632" s="245">
        <f>G631</f>
        <v>5.6736700000000004</v>
      </c>
      <c r="H632" s="128"/>
      <c r="I632" s="128"/>
      <c r="J632" s="128"/>
      <c r="K632" s="245">
        <f>K631</f>
        <v>1.9760930000000001</v>
      </c>
      <c r="L632" s="128"/>
      <c r="M632" s="128"/>
      <c r="N632" s="128"/>
      <c r="O632" s="128"/>
      <c r="P632" s="231"/>
    </row>
    <row r="633" spans="1:16" ht="36" customHeight="1" x14ac:dyDescent="0.25">
      <c r="A633" s="128">
        <v>253</v>
      </c>
      <c r="B633" s="121" t="s">
        <v>1711</v>
      </c>
      <c r="C633" s="121" t="s">
        <v>1786</v>
      </c>
      <c r="D633" s="121" t="s">
        <v>1147</v>
      </c>
      <c r="E633" s="101" t="s">
        <v>380</v>
      </c>
      <c r="F633" s="316">
        <v>5.8145769999999999</v>
      </c>
      <c r="G633" s="316">
        <v>6.8145769999999999</v>
      </c>
      <c r="H633" s="101" t="s">
        <v>1046</v>
      </c>
      <c r="I633" s="101" t="s">
        <v>1785</v>
      </c>
      <c r="J633" s="304">
        <v>12.8</v>
      </c>
      <c r="K633" s="316">
        <v>0.215</v>
      </c>
      <c r="L633" s="304">
        <v>2.8</v>
      </c>
      <c r="M633" s="101" t="s">
        <v>499</v>
      </c>
      <c r="N633" s="101" t="s">
        <v>21</v>
      </c>
      <c r="O633" s="101">
        <v>2020</v>
      </c>
      <c r="P633" s="168" t="s">
        <v>1797</v>
      </c>
    </row>
    <row r="634" spans="1:16" ht="22.15" customHeight="1" x14ac:dyDescent="0.25">
      <c r="A634" s="128"/>
      <c r="B634" s="502" t="s">
        <v>22</v>
      </c>
      <c r="C634" s="503"/>
      <c r="D634" s="195"/>
      <c r="E634" s="128"/>
      <c r="F634" s="245">
        <f>F633</f>
        <v>5.8145769999999999</v>
      </c>
      <c r="G634" s="245">
        <f>G633</f>
        <v>6.8145769999999999</v>
      </c>
      <c r="H634" s="128"/>
      <c r="I634" s="128"/>
      <c r="J634" s="128"/>
      <c r="K634" s="245">
        <f>K633</f>
        <v>0.215</v>
      </c>
      <c r="L634" s="128"/>
      <c r="M634" s="128"/>
      <c r="N634" s="128"/>
      <c r="O634" s="128"/>
      <c r="P634" s="231"/>
    </row>
    <row r="635" spans="1:16" ht="39.4" customHeight="1" x14ac:dyDescent="0.25">
      <c r="A635" s="128">
        <v>254</v>
      </c>
      <c r="B635" s="121" t="s">
        <v>1711</v>
      </c>
      <c r="C635" s="121" t="s">
        <v>1787</v>
      </c>
      <c r="D635" s="121" t="s">
        <v>1147</v>
      </c>
      <c r="E635" s="101" t="s">
        <v>380</v>
      </c>
      <c r="F635" s="316">
        <v>7.4693800000000001</v>
      </c>
      <c r="G635" s="316">
        <v>8.4693799999999992</v>
      </c>
      <c r="H635" s="101" t="s">
        <v>1046</v>
      </c>
      <c r="I635" s="101" t="s">
        <v>1785</v>
      </c>
      <c r="J635" s="304">
        <v>63.01</v>
      </c>
      <c r="K635" s="316">
        <v>1.05867</v>
      </c>
      <c r="L635" s="304">
        <v>8</v>
      </c>
      <c r="M635" s="101" t="s">
        <v>499</v>
      </c>
      <c r="N635" s="101" t="s">
        <v>21</v>
      </c>
      <c r="O635" s="101">
        <v>2020</v>
      </c>
      <c r="P635" s="168" t="s">
        <v>1797</v>
      </c>
    </row>
    <row r="636" spans="1:16" ht="22.15" customHeight="1" x14ac:dyDescent="0.25">
      <c r="A636" s="128"/>
      <c r="B636" s="502" t="s">
        <v>22</v>
      </c>
      <c r="C636" s="503"/>
      <c r="D636" s="195"/>
      <c r="E636" s="128"/>
      <c r="F636" s="245">
        <f>F635</f>
        <v>7.4693800000000001</v>
      </c>
      <c r="G636" s="245">
        <f>G635</f>
        <v>8.4693799999999992</v>
      </c>
      <c r="H636" s="128"/>
      <c r="I636" s="128"/>
      <c r="J636" s="128"/>
      <c r="K636" s="245">
        <f>K635</f>
        <v>1.05867</v>
      </c>
      <c r="L636" s="128"/>
      <c r="M636" s="128"/>
      <c r="N636" s="128"/>
      <c r="O636" s="128"/>
      <c r="P636" s="231"/>
    </row>
    <row r="637" spans="1:16" ht="37.9" customHeight="1" x14ac:dyDescent="0.25">
      <c r="A637" s="128">
        <v>255</v>
      </c>
      <c r="B637" s="121" t="s">
        <v>1711</v>
      </c>
      <c r="C637" s="121" t="s">
        <v>1788</v>
      </c>
      <c r="D637" s="121" t="s">
        <v>1147</v>
      </c>
      <c r="E637" s="101" t="s">
        <v>380</v>
      </c>
      <c r="F637" s="316">
        <v>5.53043</v>
      </c>
      <c r="G637" s="316">
        <v>6.53043</v>
      </c>
      <c r="H637" s="101" t="s">
        <v>1046</v>
      </c>
      <c r="I637" s="101" t="s">
        <v>1785</v>
      </c>
      <c r="J637" s="304">
        <v>48.58</v>
      </c>
      <c r="K637" s="316">
        <v>0.81599999999999995</v>
      </c>
      <c r="L637" s="304">
        <v>8</v>
      </c>
      <c r="M637" s="101" t="s">
        <v>499</v>
      </c>
      <c r="N637" s="101" t="s">
        <v>21</v>
      </c>
      <c r="O637" s="101">
        <v>2020</v>
      </c>
      <c r="P637" s="168" t="s">
        <v>1797</v>
      </c>
    </row>
    <row r="638" spans="1:16" ht="22.15" customHeight="1" x14ac:dyDescent="0.25">
      <c r="A638" s="128"/>
      <c r="B638" s="502" t="s">
        <v>22</v>
      </c>
      <c r="C638" s="503"/>
      <c r="D638" s="195"/>
      <c r="E638" s="128"/>
      <c r="F638" s="245">
        <f>F637</f>
        <v>5.53043</v>
      </c>
      <c r="G638" s="245">
        <f>G637</f>
        <v>6.53043</v>
      </c>
      <c r="H638" s="128"/>
      <c r="I638" s="128"/>
      <c r="J638" s="128"/>
      <c r="K638" s="245">
        <f>K637</f>
        <v>0.81599999999999995</v>
      </c>
      <c r="L638" s="128"/>
      <c r="M638" s="128"/>
      <c r="N638" s="128"/>
      <c r="O638" s="128"/>
      <c r="P638" s="231"/>
    </row>
    <row r="639" spans="1:16" ht="39.4" customHeight="1" x14ac:dyDescent="0.25">
      <c r="A639" s="128">
        <v>256</v>
      </c>
      <c r="B639" s="121" t="s">
        <v>1711</v>
      </c>
      <c r="C639" s="121" t="s">
        <v>1789</v>
      </c>
      <c r="D639" s="121" t="s">
        <v>1147</v>
      </c>
      <c r="E639" s="101" t="s">
        <v>380</v>
      </c>
      <c r="F639" s="316">
        <v>4.1889999999999997E-2</v>
      </c>
      <c r="G639" s="316">
        <v>1.04189</v>
      </c>
      <c r="H639" s="101" t="s">
        <v>1046</v>
      </c>
      <c r="I639" s="101" t="s">
        <v>1785</v>
      </c>
      <c r="J639" s="304">
        <v>183.4</v>
      </c>
      <c r="K639" s="316">
        <v>3.08141</v>
      </c>
      <c r="L639" s="304">
        <v>8</v>
      </c>
      <c r="M639" s="101" t="s">
        <v>499</v>
      </c>
      <c r="N639" s="101" t="s">
        <v>21</v>
      </c>
      <c r="O639" s="101">
        <v>2020</v>
      </c>
      <c r="P639" s="168" t="s">
        <v>1797</v>
      </c>
    </row>
    <row r="640" spans="1:16" ht="22.15" customHeight="1" x14ac:dyDescent="0.25">
      <c r="A640" s="128"/>
      <c r="B640" s="502" t="s">
        <v>22</v>
      </c>
      <c r="C640" s="503"/>
      <c r="D640" s="195"/>
      <c r="E640" s="128"/>
      <c r="F640" s="245">
        <f>F639</f>
        <v>4.1889999999999997E-2</v>
      </c>
      <c r="G640" s="245">
        <f>G639</f>
        <v>1.04189</v>
      </c>
      <c r="H640" s="128"/>
      <c r="I640" s="128"/>
      <c r="J640" s="128"/>
      <c r="K640" s="245">
        <f>K639</f>
        <v>3.08141</v>
      </c>
      <c r="L640" s="128"/>
      <c r="M640" s="128"/>
      <c r="N640" s="128"/>
      <c r="O640" s="128"/>
      <c r="P640" s="231"/>
    </row>
    <row r="641" spans="1:16" ht="54" customHeight="1" x14ac:dyDescent="0.25">
      <c r="A641" s="128">
        <v>257</v>
      </c>
      <c r="B641" s="121" t="s">
        <v>1671</v>
      </c>
      <c r="C641" s="121" t="s">
        <v>1790</v>
      </c>
      <c r="D641" s="121" t="s">
        <v>1791</v>
      </c>
      <c r="E641" s="101" t="s">
        <v>1671</v>
      </c>
      <c r="F641" s="316">
        <v>999</v>
      </c>
      <c r="G641" s="316">
        <v>1000</v>
      </c>
      <c r="H641" s="101" t="s">
        <v>428</v>
      </c>
      <c r="I641" s="101" t="s">
        <v>1110</v>
      </c>
      <c r="J641" s="304">
        <v>7000000</v>
      </c>
      <c r="K641" s="316">
        <v>200</v>
      </c>
      <c r="L641" s="304">
        <v>5</v>
      </c>
      <c r="M641" s="101" t="s">
        <v>499</v>
      </c>
      <c r="N641" s="101" t="s">
        <v>312</v>
      </c>
      <c r="O641" s="101">
        <v>2020</v>
      </c>
      <c r="P641" s="168" t="s">
        <v>1797</v>
      </c>
    </row>
    <row r="642" spans="1:16" ht="22.15" customHeight="1" x14ac:dyDescent="0.25">
      <c r="A642" s="128"/>
      <c r="B642" s="502" t="s">
        <v>22</v>
      </c>
      <c r="C642" s="503"/>
      <c r="D642" s="195"/>
      <c r="E642" s="128"/>
      <c r="F642" s="245">
        <f>F641</f>
        <v>999</v>
      </c>
      <c r="G642" s="245">
        <f>G641</f>
        <v>1000</v>
      </c>
      <c r="H642" s="128"/>
      <c r="I642" s="128"/>
      <c r="J642" s="128"/>
      <c r="K642" s="245">
        <f>K641</f>
        <v>200</v>
      </c>
      <c r="L642" s="128"/>
      <c r="M642" s="128"/>
      <c r="N642" s="128"/>
      <c r="O642" s="128"/>
      <c r="P642" s="231"/>
    </row>
    <row r="643" spans="1:16" ht="39.4" customHeight="1" x14ac:dyDescent="0.25">
      <c r="A643" s="128">
        <v>258</v>
      </c>
      <c r="B643" s="121" t="s">
        <v>1828</v>
      </c>
      <c r="C643" s="121" t="s">
        <v>92</v>
      </c>
      <c r="D643" s="121" t="s">
        <v>1830</v>
      </c>
      <c r="E643" s="101" t="s">
        <v>1828</v>
      </c>
      <c r="F643" s="316">
        <v>0.20910000000000001</v>
      </c>
      <c r="G643" s="316">
        <v>1.2091000000000001</v>
      </c>
      <c r="H643" s="101" t="s">
        <v>1112</v>
      </c>
      <c r="I643" s="101" t="s">
        <v>1110</v>
      </c>
      <c r="J643" s="304">
        <v>26320</v>
      </c>
      <c r="K643" s="316">
        <v>0.33679999999999999</v>
      </c>
      <c r="L643" s="305">
        <v>3.58</v>
      </c>
      <c r="M643" s="101" t="s">
        <v>1829</v>
      </c>
      <c r="N643" s="101" t="s">
        <v>21</v>
      </c>
      <c r="O643" s="101">
        <v>2023</v>
      </c>
      <c r="P643" s="168"/>
    </row>
    <row r="644" spans="1:16" ht="22.15" customHeight="1" x14ac:dyDescent="0.25">
      <c r="A644" s="128"/>
      <c r="B644" s="502" t="s">
        <v>22</v>
      </c>
      <c r="C644" s="503"/>
      <c r="D644" s="195"/>
      <c r="E644" s="128"/>
      <c r="F644" s="245">
        <f>F643</f>
        <v>0.20910000000000001</v>
      </c>
      <c r="G644" s="245">
        <f>G643</f>
        <v>1.2091000000000001</v>
      </c>
      <c r="H644" s="128"/>
      <c r="I644" s="128"/>
      <c r="J644" s="128"/>
      <c r="K644" s="245">
        <f>K643</f>
        <v>0.33679999999999999</v>
      </c>
      <c r="L644" s="128"/>
      <c r="M644" s="128"/>
      <c r="N644" s="128"/>
      <c r="O644" s="128"/>
      <c r="P644" s="231"/>
    </row>
    <row r="645" spans="1:16" ht="29.1" customHeight="1" x14ac:dyDescent="0.25">
      <c r="A645" s="447">
        <v>259</v>
      </c>
      <c r="B645" s="495" t="s">
        <v>1831</v>
      </c>
      <c r="C645" s="121" t="s">
        <v>92</v>
      </c>
      <c r="D645" s="121" t="s">
        <v>1832</v>
      </c>
      <c r="E645" s="449" t="s">
        <v>1831</v>
      </c>
      <c r="F645" s="316">
        <v>2.02</v>
      </c>
      <c r="G645" s="316">
        <v>2.02</v>
      </c>
      <c r="H645" s="449" t="s">
        <v>1112</v>
      </c>
      <c r="I645" s="101" t="s">
        <v>1110</v>
      </c>
      <c r="J645" s="304">
        <v>8760</v>
      </c>
      <c r="K645" s="316">
        <v>0.1905</v>
      </c>
      <c r="L645" s="305">
        <v>10.6</v>
      </c>
      <c r="M645" s="449" t="s">
        <v>1834</v>
      </c>
      <c r="N645" s="449" t="s">
        <v>21</v>
      </c>
      <c r="O645" s="101">
        <v>2023</v>
      </c>
      <c r="P645" s="168"/>
    </row>
    <row r="646" spans="1:16" ht="45.4" customHeight="1" x14ac:dyDescent="0.25">
      <c r="A646" s="448"/>
      <c r="B646" s="496"/>
      <c r="C646" s="121" t="s">
        <v>1833</v>
      </c>
      <c r="D646" s="121" t="s">
        <v>1833</v>
      </c>
      <c r="E646" s="433"/>
      <c r="F646" s="316">
        <v>1.9084000000000001</v>
      </c>
      <c r="G646" s="316">
        <v>1.9084000000000001</v>
      </c>
      <c r="H646" s="433"/>
      <c r="I646" s="101" t="s">
        <v>1110</v>
      </c>
      <c r="J646" s="304">
        <v>514</v>
      </c>
      <c r="K646" s="316">
        <v>3.1362999999999999</v>
      </c>
      <c r="L646" s="305">
        <v>0.6</v>
      </c>
      <c r="M646" s="433"/>
      <c r="N646" s="433"/>
      <c r="O646" s="101">
        <v>2023</v>
      </c>
      <c r="P646" s="168"/>
    </row>
    <row r="647" spans="1:16" ht="22.15" customHeight="1" x14ac:dyDescent="0.25">
      <c r="A647" s="128"/>
      <c r="B647" s="502" t="s">
        <v>22</v>
      </c>
      <c r="C647" s="503"/>
      <c r="D647" s="195"/>
      <c r="E647" s="128"/>
      <c r="F647" s="245">
        <f>F645+F646</f>
        <v>3.9283999999999999</v>
      </c>
      <c r="G647" s="245">
        <f>G645+G646</f>
        <v>3.9283999999999999</v>
      </c>
      <c r="H647" s="128"/>
      <c r="I647" s="128"/>
      <c r="J647" s="128"/>
      <c r="K647" s="245">
        <f>K645+K646</f>
        <v>3.3268</v>
      </c>
      <c r="L647" s="128"/>
      <c r="M647" s="128"/>
      <c r="N647" s="128"/>
      <c r="O647" s="128"/>
      <c r="P647" s="231"/>
    </row>
    <row r="648" spans="1:16" ht="23.1" customHeight="1" x14ac:dyDescent="0.25">
      <c r="A648" s="447">
        <v>260</v>
      </c>
      <c r="B648" s="495" t="s">
        <v>1798</v>
      </c>
      <c r="C648" s="121" t="s">
        <v>92</v>
      </c>
      <c r="D648" s="121" t="s">
        <v>1835</v>
      </c>
      <c r="E648" s="449" t="s">
        <v>1798</v>
      </c>
      <c r="F648" s="316">
        <v>23.713999999999999</v>
      </c>
      <c r="G648" s="316">
        <v>23.713999999999999</v>
      </c>
      <c r="H648" s="449" t="s">
        <v>1112</v>
      </c>
      <c r="I648" s="101" t="s">
        <v>1110</v>
      </c>
      <c r="J648" s="304">
        <v>3450082</v>
      </c>
      <c r="K648" s="316">
        <v>34.432000000000002</v>
      </c>
      <c r="L648" s="305">
        <v>0.7</v>
      </c>
      <c r="M648" s="449" t="s">
        <v>517</v>
      </c>
      <c r="N648" s="449" t="s">
        <v>21</v>
      </c>
      <c r="O648" s="101">
        <v>2023</v>
      </c>
      <c r="P648" s="168"/>
    </row>
    <row r="649" spans="1:16" ht="20.65" customHeight="1" x14ac:dyDescent="0.25">
      <c r="A649" s="491"/>
      <c r="B649" s="504"/>
      <c r="C649" s="121" t="s">
        <v>92</v>
      </c>
      <c r="D649" s="121" t="s">
        <v>1836</v>
      </c>
      <c r="E649" s="490"/>
      <c r="F649" s="316">
        <v>92.388000000000005</v>
      </c>
      <c r="G649" s="316">
        <v>92.388000000000005</v>
      </c>
      <c r="H649" s="490"/>
      <c r="I649" s="101" t="s">
        <v>1110</v>
      </c>
      <c r="J649" s="304">
        <v>569462</v>
      </c>
      <c r="K649" s="316">
        <v>5.6829999999999998</v>
      </c>
      <c r="L649" s="305">
        <v>16.2</v>
      </c>
      <c r="M649" s="490"/>
      <c r="N649" s="490"/>
      <c r="O649" s="101">
        <v>2023</v>
      </c>
      <c r="P649" s="168"/>
    </row>
    <row r="650" spans="1:16" ht="24" customHeight="1" x14ac:dyDescent="0.25">
      <c r="A650" s="448"/>
      <c r="B650" s="496"/>
      <c r="C650" s="121" t="s">
        <v>92</v>
      </c>
      <c r="D650" s="121" t="s">
        <v>1156</v>
      </c>
      <c r="E650" s="433"/>
      <c r="F650" s="316">
        <v>30.503</v>
      </c>
      <c r="G650" s="316">
        <v>30.503</v>
      </c>
      <c r="H650" s="433"/>
      <c r="I650" s="101" t="s">
        <v>1110</v>
      </c>
      <c r="J650" s="304">
        <v>401933</v>
      </c>
      <c r="K650" s="316">
        <v>4.0110000000000001</v>
      </c>
      <c r="L650" s="305">
        <v>7.6</v>
      </c>
      <c r="M650" s="433"/>
      <c r="N650" s="433"/>
      <c r="O650" s="101">
        <v>2023</v>
      </c>
      <c r="P650" s="168"/>
    </row>
    <row r="651" spans="1:16" ht="22.15" customHeight="1" x14ac:dyDescent="0.25">
      <c r="A651" s="128"/>
      <c r="B651" s="502" t="s">
        <v>22</v>
      </c>
      <c r="C651" s="503"/>
      <c r="D651" s="195"/>
      <c r="E651" s="128"/>
      <c r="F651" s="245">
        <f>F650+F648+F649</f>
        <v>146.60500000000002</v>
      </c>
      <c r="G651" s="245">
        <f>G650+G648+G649</f>
        <v>146.60500000000002</v>
      </c>
      <c r="H651" s="128"/>
      <c r="I651" s="128"/>
      <c r="J651" s="128"/>
      <c r="K651" s="245">
        <f>K650+K648+K649</f>
        <v>44.126000000000005</v>
      </c>
      <c r="L651" s="128"/>
      <c r="M651" s="128"/>
      <c r="N651" s="128"/>
      <c r="O651" s="128"/>
      <c r="P651" s="231"/>
    </row>
    <row r="652" spans="1:16" ht="54" customHeight="1" x14ac:dyDescent="0.25">
      <c r="A652" s="447">
        <v>261</v>
      </c>
      <c r="B652" s="495" t="s">
        <v>1799</v>
      </c>
      <c r="C652" s="121" t="s">
        <v>92</v>
      </c>
      <c r="D652" s="121" t="s">
        <v>1837</v>
      </c>
      <c r="E652" s="449" t="s">
        <v>1799</v>
      </c>
      <c r="F652" s="316">
        <v>8.9369999999999994</v>
      </c>
      <c r="G652" s="316">
        <v>8.9369999999999994</v>
      </c>
      <c r="H652" s="449" t="s">
        <v>1112</v>
      </c>
      <c r="I652" s="101" t="s">
        <v>1110</v>
      </c>
      <c r="J652" s="304">
        <v>34300</v>
      </c>
      <c r="K652" s="316">
        <v>0.73</v>
      </c>
      <c r="L652" s="304">
        <v>12.2</v>
      </c>
      <c r="M652" s="449" t="s">
        <v>466</v>
      </c>
      <c r="N652" s="449" t="s">
        <v>21</v>
      </c>
      <c r="O652" s="101">
        <v>2023</v>
      </c>
      <c r="P652" s="168"/>
    </row>
    <row r="653" spans="1:16" ht="39.4" customHeight="1" x14ac:dyDescent="0.25">
      <c r="A653" s="448"/>
      <c r="B653" s="496"/>
      <c r="C653" s="121" t="s">
        <v>92</v>
      </c>
      <c r="D653" s="121" t="s">
        <v>1838</v>
      </c>
      <c r="E653" s="433"/>
      <c r="F653" s="316">
        <v>27.439</v>
      </c>
      <c r="G653" s="316">
        <v>27.439</v>
      </c>
      <c r="H653" s="433"/>
      <c r="I653" s="101" t="s">
        <v>1110</v>
      </c>
      <c r="J653" s="304">
        <v>208065</v>
      </c>
      <c r="K653" s="316">
        <v>4.4279999999999999</v>
      </c>
      <c r="L653" s="304">
        <v>6.2</v>
      </c>
      <c r="M653" s="433"/>
      <c r="N653" s="433"/>
      <c r="O653" s="101">
        <v>2023</v>
      </c>
      <c r="P653" s="168"/>
    </row>
    <row r="654" spans="1:16" ht="22.15" customHeight="1" x14ac:dyDescent="0.25">
      <c r="A654" s="128"/>
      <c r="B654" s="502" t="s">
        <v>22</v>
      </c>
      <c r="C654" s="503"/>
      <c r="D654" s="195"/>
      <c r="E654" s="128"/>
      <c r="F654" s="245">
        <f>F653+F652</f>
        <v>36.375999999999998</v>
      </c>
      <c r="G654" s="245">
        <f>G653+G652</f>
        <v>36.375999999999998</v>
      </c>
      <c r="H654" s="128"/>
      <c r="I654" s="128"/>
      <c r="J654" s="128"/>
      <c r="K654" s="245">
        <f>K653+K652</f>
        <v>5.1579999999999995</v>
      </c>
      <c r="L654" s="128"/>
      <c r="M654" s="128"/>
      <c r="N654" s="128"/>
      <c r="O654" s="128"/>
      <c r="P654" s="231"/>
    </row>
    <row r="655" spans="1:16" ht="37.9" customHeight="1" x14ac:dyDescent="0.25">
      <c r="A655" s="128">
        <v>262</v>
      </c>
      <c r="B655" s="121" t="s">
        <v>1800</v>
      </c>
      <c r="C655" s="121" t="s">
        <v>92</v>
      </c>
      <c r="D655" s="121" t="s">
        <v>1801</v>
      </c>
      <c r="E655" s="101" t="s">
        <v>1800</v>
      </c>
      <c r="F655" s="316">
        <v>-0.86850000000000005</v>
      </c>
      <c r="G655" s="316">
        <v>0.13150000000000001</v>
      </c>
      <c r="H655" s="101" t="s">
        <v>1112</v>
      </c>
      <c r="I655" s="101" t="s">
        <v>1110</v>
      </c>
      <c r="J655" s="304">
        <v>3095</v>
      </c>
      <c r="K655" s="316">
        <v>0.11119999999999999</v>
      </c>
      <c r="L655" s="304">
        <v>1.2</v>
      </c>
      <c r="M655" s="101" t="s">
        <v>1061</v>
      </c>
      <c r="N655" s="101" t="s">
        <v>21</v>
      </c>
      <c r="O655" s="101"/>
      <c r="P655" s="168"/>
    </row>
    <row r="656" spans="1:16" ht="22.15" customHeight="1" x14ac:dyDescent="0.25">
      <c r="A656" s="128"/>
      <c r="B656" s="502" t="s">
        <v>22</v>
      </c>
      <c r="C656" s="503"/>
      <c r="D656" s="195"/>
      <c r="E656" s="128"/>
      <c r="F656" s="245">
        <f>F655</f>
        <v>-0.86850000000000005</v>
      </c>
      <c r="G656" s="245">
        <f>G655</f>
        <v>0.13150000000000001</v>
      </c>
      <c r="H656" s="128"/>
      <c r="I656" s="128"/>
      <c r="J656" s="128"/>
      <c r="K656" s="245">
        <f>K655</f>
        <v>0.11119999999999999</v>
      </c>
      <c r="L656" s="128"/>
      <c r="M656" s="128"/>
      <c r="N656" s="128"/>
      <c r="O656" s="128"/>
      <c r="P656" s="231"/>
    </row>
    <row r="657" spans="1:16" ht="18.399999999999999" customHeight="1" x14ac:dyDescent="0.25">
      <c r="A657" s="447">
        <v>263</v>
      </c>
      <c r="B657" s="495" t="s">
        <v>1802</v>
      </c>
      <c r="C657" s="121" t="s">
        <v>92</v>
      </c>
      <c r="D657" s="121" t="s">
        <v>1156</v>
      </c>
      <c r="E657" s="449" t="s">
        <v>1802</v>
      </c>
      <c r="F657" s="316">
        <v>1.1297999999999999</v>
      </c>
      <c r="G657" s="316">
        <v>1.1297999999999999</v>
      </c>
      <c r="H657" s="449" t="s">
        <v>1112</v>
      </c>
      <c r="I657" s="101" t="s">
        <v>37</v>
      </c>
      <c r="J657" s="304">
        <v>56.7</v>
      </c>
      <c r="K657" s="316">
        <v>0.1227</v>
      </c>
      <c r="L657" s="304">
        <v>19.399999999999999</v>
      </c>
      <c r="M657" s="449" t="s">
        <v>1149</v>
      </c>
      <c r="N657" s="449" t="s">
        <v>21</v>
      </c>
      <c r="O657" s="449"/>
      <c r="P657" s="168"/>
    </row>
    <row r="658" spans="1:16" ht="20.65" customHeight="1" x14ac:dyDescent="0.25">
      <c r="A658" s="448"/>
      <c r="B658" s="496"/>
      <c r="C658" s="121" t="s">
        <v>1803</v>
      </c>
      <c r="D658" s="121" t="s">
        <v>1803</v>
      </c>
      <c r="E658" s="433"/>
      <c r="F658" s="316">
        <v>6.4814999999999996</v>
      </c>
      <c r="G658" s="316">
        <v>6.4814999999999996</v>
      </c>
      <c r="H658" s="433"/>
      <c r="I658" s="101" t="s">
        <v>1110</v>
      </c>
      <c r="J658" s="304">
        <v>28806</v>
      </c>
      <c r="K658" s="316">
        <v>0.33300000000000002</v>
      </c>
      <c r="L658" s="304">
        <v>12.8</v>
      </c>
      <c r="M658" s="433"/>
      <c r="N658" s="433"/>
      <c r="O658" s="433"/>
      <c r="P658" s="168"/>
    </row>
    <row r="659" spans="1:16" ht="22.15" customHeight="1" x14ac:dyDescent="0.25">
      <c r="A659" s="128"/>
      <c r="B659" s="502" t="s">
        <v>22</v>
      </c>
      <c r="C659" s="503"/>
      <c r="D659" s="195"/>
      <c r="E659" s="128"/>
      <c r="F659" s="245">
        <f>F657+F658</f>
        <v>7.6113</v>
      </c>
      <c r="G659" s="245">
        <f>G657+G658</f>
        <v>7.6113</v>
      </c>
      <c r="H659" s="128"/>
      <c r="I659" s="128"/>
      <c r="J659" s="128"/>
      <c r="K659" s="245">
        <f>K657+K658</f>
        <v>0.45569999999999999</v>
      </c>
      <c r="L659" s="128"/>
      <c r="M659" s="128"/>
      <c r="N659" s="128"/>
      <c r="O659" s="128"/>
      <c r="P659" s="231"/>
    </row>
    <row r="660" spans="1:16" ht="24" customHeight="1" x14ac:dyDescent="0.25">
      <c r="A660" s="447">
        <v>264</v>
      </c>
      <c r="B660" s="495" t="s">
        <v>1804</v>
      </c>
      <c r="C660" s="121" t="s">
        <v>92</v>
      </c>
      <c r="D660" s="121" t="s">
        <v>1806</v>
      </c>
      <c r="E660" s="449" t="s">
        <v>1804</v>
      </c>
      <c r="F660" s="316">
        <v>6.2774000000000001</v>
      </c>
      <c r="G660" s="316">
        <v>6.2774000000000001</v>
      </c>
      <c r="H660" s="449" t="s">
        <v>1112</v>
      </c>
      <c r="I660" s="101" t="s">
        <v>1110</v>
      </c>
      <c r="J660" s="304">
        <v>28806</v>
      </c>
      <c r="K660" s="316">
        <v>0.48970000000000002</v>
      </c>
      <c r="L660" s="304">
        <v>12.8</v>
      </c>
      <c r="M660" s="449" t="s">
        <v>1149</v>
      </c>
      <c r="N660" s="449" t="s">
        <v>21</v>
      </c>
      <c r="O660" s="449"/>
      <c r="P660" s="168"/>
    </row>
    <row r="661" spans="1:16" ht="15.95" customHeight="1" x14ac:dyDescent="0.25">
      <c r="A661" s="491"/>
      <c r="B661" s="504"/>
      <c r="C661" s="121" t="s">
        <v>1805</v>
      </c>
      <c r="D661" s="121" t="s">
        <v>1805</v>
      </c>
      <c r="E661" s="490"/>
      <c r="F661" s="316">
        <v>0.97750000000000004</v>
      </c>
      <c r="G661" s="316">
        <v>0.97750000000000004</v>
      </c>
      <c r="H661" s="490"/>
      <c r="I661" s="101" t="s">
        <v>37</v>
      </c>
      <c r="J661" s="304">
        <v>13.16</v>
      </c>
      <c r="K661" s="316">
        <v>7.9799999999999996E-2</v>
      </c>
      <c r="L661" s="304">
        <v>13.2</v>
      </c>
      <c r="M661" s="490"/>
      <c r="N661" s="490"/>
      <c r="O661" s="490"/>
      <c r="P661" s="168"/>
    </row>
    <row r="662" spans="1:16" ht="17.649999999999999" customHeight="1" x14ac:dyDescent="0.25">
      <c r="A662" s="448"/>
      <c r="B662" s="496"/>
      <c r="C662" s="121" t="s">
        <v>1803</v>
      </c>
      <c r="D662" s="121" t="s">
        <v>1803</v>
      </c>
      <c r="E662" s="433"/>
      <c r="F662" s="316">
        <v>7.45</v>
      </c>
      <c r="G662" s="316">
        <v>7.45</v>
      </c>
      <c r="H662" s="433"/>
      <c r="I662" s="101" t="s">
        <v>37</v>
      </c>
      <c r="J662" s="304">
        <v>89.5</v>
      </c>
      <c r="K662" s="316">
        <v>0.50180000000000002</v>
      </c>
      <c r="L662" s="304">
        <v>14.9</v>
      </c>
      <c r="M662" s="433"/>
      <c r="N662" s="433"/>
      <c r="O662" s="433"/>
      <c r="P662" s="168"/>
    </row>
    <row r="663" spans="1:16" ht="22.15" customHeight="1" x14ac:dyDescent="0.25">
      <c r="A663" s="128"/>
      <c r="B663" s="502" t="s">
        <v>22</v>
      </c>
      <c r="C663" s="503"/>
      <c r="D663" s="195"/>
      <c r="E663" s="128"/>
      <c r="F663" s="245">
        <f>F662+F660+F661</f>
        <v>14.704899999999999</v>
      </c>
      <c r="G663" s="245">
        <f>G662+G660+G661</f>
        <v>14.704899999999999</v>
      </c>
      <c r="H663" s="130"/>
      <c r="I663" s="130"/>
      <c r="J663" s="130"/>
      <c r="K663" s="245">
        <f>K662+K660+K661</f>
        <v>1.0713000000000001</v>
      </c>
      <c r="L663" s="128"/>
      <c r="M663" s="128"/>
      <c r="N663" s="128"/>
      <c r="O663" s="128"/>
      <c r="P663" s="231"/>
    </row>
    <row r="664" spans="1:16" ht="17.100000000000001" customHeight="1" x14ac:dyDescent="0.25">
      <c r="A664" s="447">
        <v>265</v>
      </c>
      <c r="B664" s="495" t="s">
        <v>1839</v>
      </c>
      <c r="C664" s="121" t="s">
        <v>1803</v>
      </c>
      <c r="D664" s="121" t="s">
        <v>1803</v>
      </c>
      <c r="E664" s="449" t="s">
        <v>1807</v>
      </c>
      <c r="F664" s="316">
        <v>3.85</v>
      </c>
      <c r="G664" s="316">
        <v>3.85</v>
      </c>
      <c r="H664" s="449" t="s">
        <v>1112</v>
      </c>
      <c r="I664" s="101" t="s">
        <v>514</v>
      </c>
      <c r="J664" s="304">
        <v>15.04</v>
      </c>
      <c r="K664" s="316">
        <v>0.47239999999999999</v>
      </c>
      <c r="L664" s="304">
        <v>8.1</v>
      </c>
      <c r="M664" s="449" t="s">
        <v>1149</v>
      </c>
      <c r="N664" s="449" t="s">
        <v>21</v>
      </c>
      <c r="O664" s="101"/>
      <c r="P664" s="168"/>
    </row>
    <row r="665" spans="1:16" ht="18.95" customHeight="1" x14ac:dyDescent="0.25">
      <c r="A665" s="448"/>
      <c r="B665" s="496"/>
      <c r="C665" s="121" t="s">
        <v>92</v>
      </c>
      <c r="D665" s="121" t="s">
        <v>1808</v>
      </c>
      <c r="E665" s="433"/>
      <c r="F665" s="316">
        <v>15.896699999999999</v>
      </c>
      <c r="G665" s="316">
        <v>15.896699999999999</v>
      </c>
      <c r="H665" s="433"/>
      <c r="I665" s="101" t="s">
        <v>514</v>
      </c>
      <c r="J665" s="304">
        <v>7.66</v>
      </c>
      <c r="K665" s="316">
        <v>1.1596</v>
      </c>
      <c r="L665" s="304">
        <v>13.7</v>
      </c>
      <c r="M665" s="433"/>
      <c r="N665" s="433"/>
      <c r="O665" s="101"/>
      <c r="P665" s="168"/>
    </row>
    <row r="666" spans="1:16" ht="22.15" customHeight="1" x14ac:dyDescent="0.25">
      <c r="A666" s="128"/>
      <c r="B666" s="502" t="s">
        <v>22</v>
      </c>
      <c r="C666" s="503"/>
      <c r="D666" s="195"/>
      <c r="E666" s="128"/>
      <c r="F666" s="245">
        <f>F664+F665</f>
        <v>19.746700000000001</v>
      </c>
      <c r="G666" s="245">
        <f>G664+G665</f>
        <v>19.746700000000001</v>
      </c>
      <c r="H666" s="128"/>
      <c r="I666" s="128"/>
      <c r="J666" s="128"/>
      <c r="K666" s="245">
        <f>K664+K665</f>
        <v>1.6319999999999999</v>
      </c>
      <c r="L666" s="128"/>
      <c r="M666" s="128"/>
      <c r="N666" s="128"/>
      <c r="O666" s="128"/>
      <c r="P666" s="231"/>
    </row>
    <row r="667" spans="1:16" ht="21.95" customHeight="1" x14ac:dyDescent="0.25">
      <c r="A667" s="447">
        <v>266</v>
      </c>
      <c r="B667" s="495" t="s">
        <v>1809</v>
      </c>
      <c r="C667" s="121" t="s">
        <v>92</v>
      </c>
      <c r="D667" s="121" t="s">
        <v>1810</v>
      </c>
      <c r="E667" s="449" t="s">
        <v>1809</v>
      </c>
      <c r="F667" s="316">
        <v>2.8271000000000002</v>
      </c>
      <c r="G667" s="316">
        <v>2.8271000000000002</v>
      </c>
      <c r="H667" s="449" t="s">
        <v>1112</v>
      </c>
      <c r="I667" s="101" t="s">
        <v>1110</v>
      </c>
      <c r="J667" s="304">
        <v>12978</v>
      </c>
      <c r="K667" s="316">
        <v>0.24660000000000001</v>
      </c>
      <c r="L667" s="304">
        <v>11</v>
      </c>
      <c r="M667" s="449" t="s">
        <v>1149</v>
      </c>
      <c r="N667" s="449" t="s">
        <v>21</v>
      </c>
      <c r="O667" s="449"/>
      <c r="P667" s="168"/>
    </row>
    <row r="668" spans="1:16" ht="21.95" customHeight="1" x14ac:dyDescent="0.25">
      <c r="A668" s="491"/>
      <c r="B668" s="504"/>
      <c r="C668" s="121" t="s">
        <v>1805</v>
      </c>
      <c r="D668" s="121" t="s">
        <v>1811</v>
      </c>
      <c r="E668" s="490"/>
      <c r="F668" s="316">
        <v>0.97750000000000004</v>
      </c>
      <c r="G668" s="316">
        <v>0.97750000000000004</v>
      </c>
      <c r="H668" s="490"/>
      <c r="I668" s="101" t="s">
        <v>37</v>
      </c>
      <c r="J668" s="304">
        <v>13.9</v>
      </c>
      <c r="K668" s="316">
        <v>6.7199999999999996E-2</v>
      </c>
      <c r="L668" s="304">
        <v>14.5</v>
      </c>
      <c r="M668" s="490"/>
      <c r="N668" s="490"/>
      <c r="O668" s="490"/>
      <c r="P668" s="168"/>
    </row>
    <row r="669" spans="1:16" ht="20.100000000000001" customHeight="1" x14ac:dyDescent="0.25">
      <c r="A669" s="491"/>
      <c r="B669" s="504"/>
      <c r="C669" s="121" t="s">
        <v>1803</v>
      </c>
      <c r="D669" s="121" t="s">
        <v>1812</v>
      </c>
      <c r="E669" s="490"/>
      <c r="F669" s="316">
        <v>7.45</v>
      </c>
      <c r="G669" s="316">
        <v>7.45</v>
      </c>
      <c r="H669" s="490"/>
      <c r="I669" s="101" t="s">
        <v>37</v>
      </c>
      <c r="J669" s="304">
        <v>92.7</v>
      </c>
      <c r="K669" s="316">
        <v>0.43790000000000001</v>
      </c>
      <c r="L669" s="304">
        <v>17</v>
      </c>
      <c r="M669" s="490"/>
      <c r="N669" s="490"/>
      <c r="O669" s="490"/>
      <c r="P669" s="168"/>
    </row>
    <row r="670" spans="1:16" ht="18.95" customHeight="1" x14ac:dyDescent="0.25">
      <c r="A670" s="491"/>
      <c r="B670" s="504"/>
      <c r="C670" s="121" t="s">
        <v>92</v>
      </c>
      <c r="D670" s="121" t="s">
        <v>1813</v>
      </c>
      <c r="E670" s="490"/>
      <c r="F670" s="316">
        <v>2.3530000000000002</v>
      </c>
      <c r="G670" s="316">
        <v>2.3530000000000002</v>
      </c>
      <c r="H670" s="490"/>
      <c r="I670" s="101" t="s">
        <v>1110</v>
      </c>
      <c r="J670" s="304">
        <v>11130</v>
      </c>
      <c r="K670" s="316">
        <v>0.21149999999999999</v>
      </c>
      <c r="L670" s="304">
        <v>11</v>
      </c>
      <c r="M670" s="490"/>
      <c r="N670" s="490"/>
      <c r="O670" s="490"/>
      <c r="P670" s="168"/>
    </row>
    <row r="671" spans="1:16" ht="24" customHeight="1" x14ac:dyDescent="0.25">
      <c r="A671" s="448"/>
      <c r="B671" s="496"/>
      <c r="C671" s="121" t="s">
        <v>1805</v>
      </c>
      <c r="D671" s="121" t="s">
        <v>1814</v>
      </c>
      <c r="E671" s="433"/>
      <c r="F671" s="316">
        <v>0.97750000000000004</v>
      </c>
      <c r="G671" s="316">
        <v>0.97750000000000004</v>
      </c>
      <c r="H671" s="433"/>
      <c r="I671" s="101" t="s">
        <v>37</v>
      </c>
      <c r="J671" s="304">
        <v>13.9</v>
      </c>
      <c r="K671" s="316">
        <v>6.7500000000000004E-2</v>
      </c>
      <c r="L671" s="304">
        <v>14.5</v>
      </c>
      <c r="M671" s="433"/>
      <c r="N671" s="433"/>
      <c r="O671" s="433"/>
      <c r="P671" s="168"/>
    </row>
    <row r="672" spans="1:16" ht="22.15" customHeight="1" x14ac:dyDescent="0.25">
      <c r="A672" s="128"/>
      <c r="B672" s="502" t="s">
        <v>22</v>
      </c>
      <c r="C672" s="503"/>
      <c r="D672" s="195"/>
      <c r="E672" s="128"/>
      <c r="F672" s="245">
        <f>F671+F667+F668+F669+F670</f>
        <v>14.585099999999999</v>
      </c>
      <c r="G672" s="245">
        <f>G671+G667+G668+G669+G670</f>
        <v>14.585099999999999</v>
      </c>
      <c r="H672" s="156"/>
      <c r="I672" s="156"/>
      <c r="J672" s="156"/>
      <c r="K672" s="245">
        <f>K671+K667+K668+K669+K670</f>
        <v>1.0306999999999999</v>
      </c>
      <c r="L672" s="156"/>
      <c r="M672" s="128"/>
      <c r="N672" s="128"/>
      <c r="O672" s="128"/>
      <c r="P672" s="231"/>
    </row>
    <row r="673" spans="1:16" ht="38.65" customHeight="1" x14ac:dyDescent="0.25">
      <c r="A673" s="128">
        <v>267</v>
      </c>
      <c r="B673" s="121" t="s">
        <v>1815</v>
      </c>
      <c r="C673" s="121" t="s">
        <v>1181</v>
      </c>
      <c r="D673" s="121" t="s">
        <v>1181</v>
      </c>
      <c r="E673" s="101" t="s">
        <v>1815</v>
      </c>
      <c r="F673" s="316">
        <v>0.40400000000000003</v>
      </c>
      <c r="G673" s="316">
        <v>1.4039999999999999</v>
      </c>
      <c r="H673" s="101" t="s">
        <v>1112</v>
      </c>
      <c r="I673" s="101" t="s">
        <v>1110</v>
      </c>
      <c r="J673" s="304">
        <v>13860</v>
      </c>
      <c r="K673" s="316">
        <v>0.3377</v>
      </c>
      <c r="L673" s="304">
        <v>5</v>
      </c>
      <c r="M673" s="101" t="s">
        <v>43</v>
      </c>
      <c r="N673" s="101" t="s">
        <v>21</v>
      </c>
      <c r="O673" s="101"/>
      <c r="P673" s="168"/>
    </row>
    <row r="674" spans="1:16" ht="22.15" customHeight="1" x14ac:dyDescent="0.25">
      <c r="A674" s="128"/>
      <c r="B674" s="502" t="s">
        <v>22</v>
      </c>
      <c r="C674" s="503"/>
      <c r="D674" s="195"/>
      <c r="E674" s="128"/>
      <c r="F674" s="245">
        <f>F673</f>
        <v>0.40400000000000003</v>
      </c>
      <c r="G674" s="245">
        <f>G673</f>
        <v>1.4039999999999999</v>
      </c>
      <c r="H674" s="128"/>
      <c r="I674" s="128"/>
      <c r="J674" s="128"/>
      <c r="K674" s="245">
        <f>K673</f>
        <v>0.3377</v>
      </c>
      <c r="L674" s="128"/>
      <c r="M674" s="128"/>
      <c r="N674" s="128"/>
      <c r="O674" s="128"/>
      <c r="P674" s="231"/>
    </row>
    <row r="675" spans="1:16" ht="39.4" customHeight="1" x14ac:dyDescent="0.25">
      <c r="A675" s="128">
        <v>268</v>
      </c>
      <c r="B675" s="121" t="s">
        <v>1816</v>
      </c>
      <c r="C675" s="121" t="s">
        <v>1817</v>
      </c>
      <c r="D675" s="121" t="s">
        <v>1817</v>
      </c>
      <c r="E675" s="101" t="s">
        <v>1816</v>
      </c>
      <c r="F675" s="316">
        <v>0.76959999999999995</v>
      </c>
      <c r="G675" s="316">
        <v>1.7696000000000001</v>
      </c>
      <c r="H675" s="101" t="s">
        <v>1112</v>
      </c>
      <c r="I675" s="101" t="s">
        <v>1110</v>
      </c>
      <c r="J675" s="304">
        <v>5300</v>
      </c>
      <c r="K675" s="316">
        <v>0.1991</v>
      </c>
      <c r="L675" s="304">
        <v>8.9</v>
      </c>
      <c r="M675" s="101" t="s">
        <v>43</v>
      </c>
      <c r="N675" s="101" t="s">
        <v>21</v>
      </c>
      <c r="O675" s="101"/>
      <c r="P675" s="168"/>
    </row>
    <row r="676" spans="1:16" ht="22.15" customHeight="1" x14ac:dyDescent="0.25">
      <c r="A676" s="128"/>
      <c r="B676" s="502" t="s">
        <v>22</v>
      </c>
      <c r="C676" s="503"/>
      <c r="D676" s="195"/>
      <c r="E676" s="128"/>
      <c r="F676" s="245">
        <f>F675</f>
        <v>0.76959999999999995</v>
      </c>
      <c r="G676" s="245">
        <f>G675</f>
        <v>1.7696000000000001</v>
      </c>
      <c r="H676" s="128"/>
      <c r="I676" s="128"/>
      <c r="J676" s="128"/>
      <c r="K676" s="245">
        <f>K675</f>
        <v>0.1991</v>
      </c>
      <c r="L676" s="128"/>
      <c r="M676" s="128"/>
      <c r="N676" s="128"/>
      <c r="O676" s="128"/>
      <c r="P676" s="231"/>
    </row>
    <row r="677" spans="1:16" ht="21.4" customHeight="1" x14ac:dyDescent="0.25">
      <c r="A677" s="128">
        <v>269</v>
      </c>
      <c r="B677" s="121" t="s">
        <v>1818</v>
      </c>
      <c r="C677" s="121" t="s">
        <v>1819</v>
      </c>
      <c r="D677" s="121" t="s">
        <v>1820</v>
      </c>
      <c r="E677" s="101" t="s">
        <v>1818</v>
      </c>
      <c r="F677" s="316">
        <v>0.35</v>
      </c>
      <c r="G677" s="316">
        <v>1.35</v>
      </c>
      <c r="H677" s="101" t="s">
        <v>1112</v>
      </c>
      <c r="I677" s="101" t="s">
        <v>1110</v>
      </c>
      <c r="J677" s="304">
        <v>16200</v>
      </c>
      <c r="K677" s="316">
        <v>0.48299999999999998</v>
      </c>
      <c r="L677" s="304">
        <v>5</v>
      </c>
      <c r="M677" s="101" t="s">
        <v>1821</v>
      </c>
      <c r="N677" s="101" t="s">
        <v>21</v>
      </c>
      <c r="O677" s="101"/>
      <c r="P677" s="168"/>
    </row>
    <row r="678" spans="1:16" ht="22.15" customHeight="1" x14ac:dyDescent="0.25">
      <c r="A678" s="128"/>
      <c r="B678" s="502" t="s">
        <v>22</v>
      </c>
      <c r="C678" s="503"/>
      <c r="D678" s="195"/>
      <c r="E678" s="128"/>
      <c r="F678" s="245">
        <f>F677</f>
        <v>0.35</v>
      </c>
      <c r="G678" s="245">
        <f>G677</f>
        <v>1.35</v>
      </c>
      <c r="H678" s="128"/>
      <c r="I678" s="128"/>
      <c r="J678" s="128"/>
      <c r="K678" s="245">
        <f>K677</f>
        <v>0.48299999999999998</v>
      </c>
      <c r="L678" s="128"/>
      <c r="M678" s="128"/>
      <c r="N678" s="128"/>
      <c r="O678" s="128"/>
      <c r="P678" s="231"/>
    </row>
    <row r="679" spans="1:16" ht="40.35" customHeight="1" x14ac:dyDescent="0.25">
      <c r="A679" s="128">
        <v>270</v>
      </c>
      <c r="B679" s="121" t="s">
        <v>1822</v>
      </c>
      <c r="C679" s="121" t="s">
        <v>92</v>
      </c>
      <c r="D679" s="121" t="s">
        <v>1808</v>
      </c>
      <c r="E679" s="101" t="s">
        <v>1822</v>
      </c>
      <c r="F679" s="316">
        <v>2.27</v>
      </c>
      <c r="G679" s="316">
        <v>3.27</v>
      </c>
      <c r="H679" s="101" t="s">
        <v>1112</v>
      </c>
      <c r="I679" s="101" t="s">
        <v>514</v>
      </c>
      <c r="J679" s="304">
        <v>150.04</v>
      </c>
      <c r="K679" s="316">
        <v>1.22</v>
      </c>
      <c r="L679" s="304">
        <v>2.7</v>
      </c>
      <c r="M679" s="101" t="s">
        <v>517</v>
      </c>
      <c r="N679" s="101" t="s">
        <v>21</v>
      </c>
      <c r="O679" s="101"/>
      <c r="P679" s="168"/>
    </row>
    <row r="680" spans="1:16" ht="22.15" customHeight="1" x14ac:dyDescent="0.25">
      <c r="A680" s="128"/>
      <c r="B680" s="502" t="s">
        <v>22</v>
      </c>
      <c r="C680" s="503"/>
      <c r="D680" s="195"/>
      <c r="E680" s="128"/>
      <c r="F680" s="245">
        <f>F679</f>
        <v>2.27</v>
      </c>
      <c r="G680" s="245">
        <f>G679</f>
        <v>3.27</v>
      </c>
      <c r="H680" s="128"/>
      <c r="I680" s="128"/>
      <c r="J680" s="128"/>
      <c r="K680" s="245">
        <f>K679</f>
        <v>1.22</v>
      </c>
      <c r="L680" s="128"/>
      <c r="M680" s="128"/>
      <c r="N680" s="128"/>
      <c r="O680" s="128"/>
      <c r="P680" s="231"/>
    </row>
    <row r="681" spans="1:16" ht="20.65" customHeight="1" x14ac:dyDescent="0.25">
      <c r="A681" s="447">
        <v>271</v>
      </c>
      <c r="B681" s="495" t="s">
        <v>1823</v>
      </c>
      <c r="C681" s="121" t="s">
        <v>92</v>
      </c>
      <c r="D681" s="121" t="s">
        <v>1840</v>
      </c>
      <c r="E681" s="449" t="s">
        <v>1823</v>
      </c>
      <c r="F681" s="316">
        <v>2.5630999999999999</v>
      </c>
      <c r="G681" s="316">
        <v>2.5630999999999999</v>
      </c>
      <c r="H681" s="449" t="s">
        <v>1112</v>
      </c>
      <c r="I681" s="101" t="s">
        <v>514</v>
      </c>
      <c r="J681" s="304">
        <v>0.02</v>
      </c>
      <c r="K681" s="316">
        <v>0.21460000000000001</v>
      </c>
      <c r="L681" s="304">
        <v>11.9</v>
      </c>
      <c r="M681" s="449" t="s">
        <v>1061</v>
      </c>
      <c r="N681" s="449" t="s">
        <v>21</v>
      </c>
      <c r="O681" s="101"/>
      <c r="P681" s="168"/>
    </row>
    <row r="682" spans="1:16" ht="18" customHeight="1" x14ac:dyDescent="0.25">
      <c r="A682" s="448"/>
      <c r="B682" s="496"/>
      <c r="C682" s="121" t="s">
        <v>92</v>
      </c>
      <c r="D682" s="121" t="s">
        <v>1841</v>
      </c>
      <c r="E682" s="433"/>
      <c r="F682" s="316">
        <v>0.36220000000000002</v>
      </c>
      <c r="G682" s="316">
        <v>0.36220000000000002</v>
      </c>
      <c r="H682" s="433"/>
      <c r="I682" s="101" t="s">
        <v>514</v>
      </c>
      <c r="J682" s="304">
        <v>0.01</v>
      </c>
      <c r="K682" s="316">
        <v>9.2999999999999999E-2</v>
      </c>
      <c r="L682" s="304">
        <v>3.9</v>
      </c>
      <c r="M682" s="433"/>
      <c r="N682" s="433"/>
      <c r="O682" s="101"/>
      <c r="P682" s="168"/>
    </row>
    <row r="683" spans="1:16" ht="22.15" customHeight="1" x14ac:dyDescent="0.25">
      <c r="A683" s="128"/>
      <c r="B683" s="502" t="s">
        <v>22</v>
      </c>
      <c r="C683" s="503"/>
      <c r="D683" s="195"/>
      <c r="E683" s="128"/>
      <c r="F683" s="245">
        <f>F682+F681</f>
        <v>2.9253</v>
      </c>
      <c r="G683" s="245">
        <f>G682+G681</f>
        <v>2.9253</v>
      </c>
      <c r="H683" s="128"/>
      <c r="I683" s="128"/>
      <c r="J683" s="128"/>
      <c r="K683" s="245">
        <f>K682+K681</f>
        <v>0.30759999999999998</v>
      </c>
      <c r="L683" s="128"/>
      <c r="M683" s="128"/>
      <c r="N683" s="128"/>
      <c r="O683" s="128"/>
      <c r="P683" s="231"/>
    </row>
    <row r="684" spans="1:16" ht="22.9" customHeight="1" x14ac:dyDescent="0.25">
      <c r="A684" s="447">
        <v>272</v>
      </c>
      <c r="B684" s="495" t="s">
        <v>1824</v>
      </c>
      <c r="C684" s="121" t="s">
        <v>92</v>
      </c>
      <c r="D684" s="121" t="s">
        <v>92</v>
      </c>
      <c r="E684" s="449" t="s">
        <v>1824</v>
      </c>
      <c r="F684" s="316">
        <v>5.9569999999999999</v>
      </c>
      <c r="G684" s="316">
        <v>5.9569999999999999</v>
      </c>
      <c r="H684" s="449" t="s">
        <v>1112</v>
      </c>
      <c r="I684" s="101" t="s">
        <v>1110</v>
      </c>
      <c r="J684" s="304">
        <v>93600</v>
      </c>
      <c r="K684" s="316">
        <v>1.4179999999999999</v>
      </c>
      <c r="L684" s="304">
        <v>4.2</v>
      </c>
      <c r="M684" s="101" t="s">
        <v>517</v>
      </c>
      <c r="N684" s="101" t="s">
        <v>21</v>
      </c>
      <c r="O684" s="101"/>
      <c r="P684" s="168"/>
    </row>
    <row r="685" spans="1:16" ht="19.899999999999999" customHeight="1" x14ac:dyDescent="0.25">
      <c r="A685" s="448"/>
      <c r="B685" s="496"/>
      <c r="C685" s="121" t="s">
        <v>1180</v>
      </c>
      <c r="D685" s="121" t="s">
        <v>1180</v>
      </c>
      <c r="E685" s="433"/>
      <c r="F685" s="316">
        <v>21.05</v>
      </c>
      <c r="G685" s="316">
        <v>21.05</v>
      </c>
      <c r="H685" s="433"/>
      <c r="I685" s="101" t="s">
        <v>1110</v>
      </c>
      <c r="J685" s="304">
        <v>772500</v>
      </c>
      <c r="K685" s="316">
        <v>14.032999999999999</v>
      </c>
      <c r="L685" s="304">
        <v>1.5</v>
      </c>
      <c r="M685" s="101"/>
      <c r="N685" s="101"/>
      <c r="O685" s="101"/>
      <c r="P685" s="168"/>
    </row>
    <row r="686" spans="1:16" ht="21.95" customHeight="1" x14ac:dyDescent="0.25">
      <c r="A686" s="128"/>
      <c r="B686" s="502" t="s">
        <v>22</v>
      </c>
      <c r="C686" s="503"/>
      <c r="D686" s="195"/>
      <c r="E686" s="128"/>
      <c r="F686" s="245">
        <f>F685+F684</f>
        <v>27.007000000000001</v>
      </c>
      <c r="G686" s="245">
        <f>G685+G684</f>
        <v>27.007000000000001</v>
      </c>
      <c r="H686" s="128"/>
      <c r="I686" s="128"/>
      <c r="J686" s="128"/>
      <c r="K686" s="245">
        <f>K685+K684</f>
        <v>15.450999999999999</v>
      </c>
      <c r="L686" s="128"/>
      <c r="M686" s="128"/>
      <c r="N686" s="128"/>
      <c r="O686" s="128"/>
      <c r="P686" s="231"/>
    </row>
    <row r="687" spans="1:16" ht="22.35" customHeight="1" x14ac:dyDescent="0.25">
      <c r="A687" s="447">
        <v>273</v>
      </c>
      <c r="B687" s="495" t="s">
        <v>1825</v>
      </c>
      <c r="C687" s="121" t="s">
        <v>1827</v>
      </c>
      <c r="D687" s="121" t="s">
        <v>1827</v>
      </c>
      <c r="E687" s="449" t="s">
        <v>1825</v>
      </c>
      <c r="F687" s="316">
        <v>1.9279999999999999</v>
      </c>
      <c r="G687" s="316">
        <v>1.9279999999999999</v>
      </c>
      <c r="H687" s="449" t="s">
        <v>1112</v>
      </c>
      <c r="I687" s="101" t="s">
        <v>1110</v>
      </c>
      <c r="J687" s="304">
        <v>146878</v>
      </c>
      <c r="K687" s="316">
        <v>0.73499999999999999</v>
      </c>
      <c r="L687" s="304">
        <v>2.6</v>
      </c>
      <c r="M687" s="449" t="s">
        <v>454</v>
      </c>
      <c r="N687" s="449" t="s">
        <v>21</v>
      </c>
      <c r="O687" s="101"/>
      <c r="P687" s="168"/>
    </row>
    <row r="688" spans="1:16" ht="24" customHeight="1" x14ac:dyDescent="0.25">
      <c r="A688" s="448"/>
      <c r="B688" s="496"/>
      <c r="C688" s="121" t="s">
        <v>92</v>
      </c>
      <c r="D688" s="121" t="s">
        <v>1826</v>
      </c>
      <c r="E688" s="433"/>
      <c r="F688" s="316">
        <v>0.34200000000000003</v>
      </c>
      <c r="G688" s="316">
        <v>0.34200000000000003</v>
      </c>
      <c r="H688" s="433"/>
      <c r="I688" s="101" t="s">
        <v>1110</v>
      </c>
      <c r="J688" s="304">
        <v>21343</v>
      </c>
      <c r="K688" s="316">
        <v>0.107</v>
      </c>
      <c r="L688" s="304">
        <v>3.2</v>
      </c>
      <c r="M688" s="433"/>
      <c r="N688" s="433"/>
      <c r="O688" s="101"/>
      <c r="P688" s="168"/>
    </row>
    <row r="689" spans="1:16" ht="22.15" customHeight="1" x14ac:dyDescent="0.25">
      <c r="A689" s="128"/>
      <c r="B689" s="502" t="s">
        <v>22</v>
      </c>
      <c r="C689" s="503"/>
      <c r="D689" s="195"/>
      <c r="E689" s="128"/>
      <c r="F689" s="245">
        <f>F688+F687</f>
        <v>2.27</v>
      </c>
      <c r="G689" s="245">
        <f>G688+G687</f>
        <v>2.27</v>
      </c>
      <c r="H689" s="128"/>
      <c r="I689" s="128"/>
      <c r="J689" s="128"/>
      <c r="K689" s="245">
        <f>K688+K687</f>
        <v>0.84199999999999997</v>
      </c>
      <c r="L689" s="128"/>
      <c r="M689" s="128"/>
      <c r="N689" s="128"/>
      <c r="O689" s="128"/>
      <c r="P689" s="231"/>
    </row>
    <row r="690" spans="1:16" ht="39.4" customHeight="1" x14ac:dyDescent="0.25">
      <c r="A690" s="128">
        <v>274</v>
      </c>
      <c r="B690" s="121" t="s">
        <v>1843</v>
      </c>
      <c r="C690" s="121" t="s">
        <v>92</v>
      </c>
      <c r="D690" s="121" t="s">
        <v>1842</v>
      </c>
      <c r="E690" s="101" t="s">
        <v>1843</v>
      </c>
      <c r="F690" s="316">
        <v>-0.217</v>
      </c>
      <c r="G690" s="316">
        <v>0.78300000000000003</v>
      </c>
      <c r="H690" s="101" t="s">
        <v>1112</v>
      </c>
      <c r="I690" s="101" t="s">
        <v>1110</v>
      </c>
      <c r="J690" s="304">
        <v>11128</v>
      </c>
      <c r="K690" s="316">
        <v>0.25600000000000001</v>
      </c>
      <c r="L690" s="304">
        <v>3.06</v>
      </c>
      <c r="M690" s="101" t="s">
        <v>1821</v>
      </c>
      <c r="N690" s="101" t="s">
        <v>21</v>
      </c>
      <c r="O690" s="101"/>
      <c r="P690" s="168"/>
    </row>
    <row r="691" spans="1:16" ht="22.15" customHeight="1" x14ac:dyDescent="0.25">
      <c r="A691" s="128"/>
      <c r="B691" s="502" t="s">
        <v>22</v>
      </c>
      <c r="C691" s="503"/>
      <c r="D691" s="195"/>
      <c r="E691" s="128"/>
      <c r="F691" s="245">
        <f>F690</f>
        <v>-0.217</v>
      </c>
      <c r="G691" s="245">
        <f>G690</f>
        <v>0.78300000000000003</v>
      </c>
      <c r="H691" s="128"/>
      <c r="I691" s="128"/>
      <c r="J691" s="128"/>
      <c r="K691" s="245">
        <f>K690</f>
        <v>0.25600000000000001</v>
      </c>
      <c r="L691" s="128"/>
      <c r="M691" s="128"/>
      <c r="N691" s="128"/>
      <c r="O691" s="128"/>
      <c r="P691" s="231"/>
    </row>
    <row r="692" spans="1:16" ht="39.4" customHeight="1" x14ac:dyDescent="0.25">
      <c r="A692" s="128">
        <v>275</v>
      </c>
      <c r="B692" s="121" t="s">
        <v>1844</v>
      </c>
      <c r="C692" s="121" t="s">
        <v>1147</v>
      </c>
      <c r="D692" s="121" t="s">
        <v>1845</v>
      </c>
      <c r="E692" s="101" t="s">
        <v>1844</v>
      </c>
      <c r="F692" s="316">
        <v>52.4968</v>
      </c>
      <c r="G692" s="316">
        <v>53.4968</v>
      </c>
      <c r="H692" s="101" t="s">
        <v>1112</v>
      </c>
      <c r="I692" s="101" t="s">
        <v>37</v>
      </c>
      <c r="J692" s="304">
        <v>8000</v>
      </c>
      <c r="K692" s="316">
        <v>3.29</v>
      </c>
      <c r="L692" s="304">
        <v>16</v>
      </c>
      <c r="M692" s="101" t="s">
        <v>1846</v>
      </c>
      <c r="N692" s="101" t="s">
        <v>21</v>
      </c>
      <c r="O692" s="101"/>
      <c r="P692" s="168"/>
    </row>
    <row r="693" spans="1:16" ht="22.15" customHeight="1" x14ac:dyDescent="0.25">
      <c r="A693" s="128"/>
      <c r="B693" s="502" t="s">
        <v>22</v>
      </c>
      <c r="C693" s="503"/>
      <c r="D693" s="195"/>
      <c r="E693" s="128"/>
      <c r="F693" s="245">
        <f>F692</f>
        <v>52.4968</v>
      </c>
      <c r="G693" s="245">
        <f>G692</f>
        <v>53.4968</v>
      </c>
      <c r="H693" s="128"/>
      <c r="I693" s="128"/>
      <c r="J693" s="128"/>
      <c r="K693" s="245">
        <f>K692</f>
        <v>3.29</v>
      </c>
      <c r="L693" s="128"/>
      <c r="M693" s="128"/>
      <c r="N693" s="128"/>
      <c r="O693" s="128"/>
      <c r="P693" s="231"/>
    </row>
    <row r="694" spans="1:16" s="227" customFormat="1" ht="20.25" x14ac:dyDescent="0.25">
      <c r="A694" s="159"/>
      <c r="B694" s="220" t="s">
        <v>1792</v>
      </c>
      <c r="C694" s="509"/>
      <c r="D694" s="510"/>
      <c r="E694" s="159" t="s">
        <v>1793</v>
      </c>
      <c r="F694" s="306">
        <f>F618+F620+F622+F624+F626+F628+F630+F632+F634+F636+F638+F640+F642+F644+F647+F651+F654+F656+F659+F663+F666+F672+F674+F676+F678+F680+F683+F686+F689+F691+F693</f>
        <v>20644.01656</v>
      </c>
      <c r="G694" s="306">
        <f>G618+G620+G622+G624+G626+G628+G630+G632+G634+G636+G638+G640+G642+G644+G647+G651+G654+G656+G659+G663+G666+G672+G674+G676+G678+G680+G683+G686+G689+G691+G693</f>
        <v>20665.01656</v>
      </c>
      <c r="H694" s="384"/>
      <c r="I694" s="384"/>
      <c r="J694" s="384"/>
      <c r="K694" s="306">
        <f>K618+K620+K622+K624+K626+K628+K630+K632+K634+K636+K638+K640+K642+K644+K647+K651+K654+K656+K659+K663+K666+K672+K674+K676+K678+K680+K683+K686+K689+K691+K693</f>
        <v>621.49792400000001</v>
      </c>
      <c r="L694" s="159"/>
      <c r="M694" s="159"/>
      <c r="N694" s="159"/>
      <c r="O694" s="159"/>
      <c r="P694" s="224"/>
    </row>
    <row r="695" spans="1:16" ht="22.9" customHeight="1" x14ac:dyDescent="0.25">
      <c r="A695" s="447">
        <v>276</v>
      </c>
      <c r="B695" s="495" t="s">
        <v>1849</v>
      </c>
      <c r="C695" s="495" t="s">
        <v>1850</v>
      </c>
      <c r="D695" s="495" t="s">
        <v>1851</v>
      </c>
      <c r="E695" s="449" t="s">
        <v>1849</v>
      </c>
      <c r="F695" s="488">
        <v>269.96499999999997</v>
      </c>
      <c r="G695" s="488">
        <v>270.96499999999997</v>
      </c>
      <c r="H695" s="449" t="s">
        <v>1112</v>
      </c>
      <c r="I695" s="101" t="s">
        <v>1170</v>
      </c>
      <c r="J695" s="304">
        <v>425125</v>
      </c>
      <c r="K695" s="316">
        <v>10.31687</v>
      </c>
      <c r="L695" s="497">
        <v>17.8</v>
      </c>
      <c r="M695" s="449" t="s">
        <v>1834</v>
      </c>
      <c r="N695" s="449" t="s">
        <v>21</v>
      </c>
      <c r="O695" s="449">
        <v>2023</v>
      </c>
      <c r="P695" s="168"/>
    </row>
    <row r="696" spans="1:16" ht="19.899999999999999" customHeight="1" x14ac:dyDescent="0.25">
      <c r="A696" s="448"/>
      <c r="B696" s="496"/>
      <c r="C696" s="496"/>
      <c r="D696" s="496"/>
      <c r="E696" s="433"/>
      <c r="F696" s="489"/>
      <c r="G696" s="489"/>
      <c r="H696" s="433"/>
      <c r="I696" s="101" t="s">
        <v>37</v>
      </c>
      <c r="J696" s="304">
        <v>421.05</v>
      </c>
      <c r="K696" s="316">
        <v>1.91212</v>
      </c>
      <c r="L696" s="498"/>
      <c r="M696" s="433"/>
      <c r="N696" s="433"/>
      <c r="O696" s="433"/>
      <c r="P696" s="168"/>
    </row>
    <row r="697" spans="1:16" ht="21.95" customHeight="1" x14ac:dyDescent="0.25">
      <c r="A697" s="128"/>
      <c r="B697" s="502" t="s">
        <v>22</v>
      </c>
      <c r="C697" s="503"/>
      <c r="D697" s="195"/>
      <c r="E697" s="128"/>
      <c r="F697" s="245">
        <f>F696+F695</f>
        <v>269.96499999999997</v>
      </c>
      <c r="G697" s="245">
        <f>G696+G695</f>
        <v>270.96499999999997</v>
      </c>
      <c r="H697" s="128"/>
      <c r="I697" s="128"/>
      <c r="J697" s="128"/>
      <c r="K697" s="245">
        <f>K696+K695</f>
        <v>12.22899</v>
      </c>
      <c r="L697" s="245"/>
      <c r="M697" s="128"/>
      <c r="N697" s="128"/>
      <c r="O697" s="128"/>
      <c r="P697" s="231"/>
    </row>
    <row r="698" spans="1:16" ht="22.9" customHeight="1" x14ac:dyDescent="0.25">
      <c r="A698" s="447">
        <v>277</v>
      </c>
      <c r="B698" s="495" t="s">
        <v>1852</v>
      </c>
      <c r="C698" s="495" t="s">
        <v>1853</v>
      </c>
      <c r="D698" s="495" t="s">
        <v>1851</v>
      </c>
      <c r="E698" s="449" t="s">
        <v>1852</v>
      </c>
      <c r="F698" s="488">
        <v>168.58487</v>
      </c>
      <c r="G698" s="488">
        <v>169.58487</v>
      </c>
      <c r="H698" s="449" t="s">
        <v>1112</v>
      </c>
      <c r="I698" s="101" t="s">
        <v>1170</v>
      </c>
      <c r="J698" s="304">
        <v>691702.5</v>
      </c>
      <c r="K698" s="316">
        <v>18.311579999999999</v>
      </c>
      <c r="L698" s="497">
        <v>7.54</v>
      </c>
      <c r="M698" s="449" t="s">
        <v>66</v>
      </c>
      <c r="N698" s="449" t="s">
        <v>21</v>
      </c>
      <c r="O698" s="449">
        <v>2023</v>
      </c>
      <c r="P698" s="168"/>
    </row>
    <row r="699" spans="1:16" ht="19.899999999999999" customHeight="1" x14ac:dyDescent="0.25">
      <c r="A699" s="448"/>
      <c r="B699" s="496"/>
      <c r="C699" s="496"/>
      <c r="D699" s="496"/>
      <c r="E699" s="433"/>
      <c r="F699" s="489"/>
      <c r="G699" s="489"/>
      <c r="H699" s="433"/>
      <c r="I699" s="101" t="s">
        <v>37</v>
      </c>
      <c r="J699" s="304">
        <v>387.68</v>
      </c>
      <c r="K699" s="316">
        <v>3.4947599999999999</v>
      </c>
      <c r="L699" s="498"/>
      <c r="M699" s="433"/>
      <c r="N699" s="433"/>
      <c r="O699" s="433"/>
      <c r="P699" s="168"/>
    </row>
    <row r="700" spans="1:16" ht="21.95" customHeight="1" x14ac:dyDescent="0.25">
      <c r="A700" s="128"/>
      <c r="B700" s="502" t="s">
        <v>22</v>
      </c>
      <c r="C700" s="503"/>
      <c r="D700" s="195"/>
      <c r="E700" s="128"/>
      <c r="F700" s="245">
        <f>F699+F698</f>
        <v>168.58487</v>
      </c>
      <c r="G700" s="245">
        <f>G699+G698</f>
        <v>169.58487</v>
      </c>
      <c r="H700" s="128"/>
      <c r="I700" s="128"/>
      <c r="J700" s="128"/>
      <c r="K700" s="245">
        <f>K699+K698</f>
        <v>21.806339999999999</v>
      </c>
      <c r="L700" s="128"/>
      <c r="M700" s="128"/>
      <c r="N700" s="128"/>
      <c r="O700" s="128"/>
      <c r="P700" s="231"/>
    </row>
    <row r="701" spans="1:16" ht="63.4" customHeight="1" x14ac:dyDescent="0.25">
      <c r="A701" s="324">
        <v>278</v>
      </c>
      <c r="B701" s="189" t="s">
        <v>1854</v>
      </c>
      <c r="C701" s="189" t="s">
        <v>1855</v>
      </c>
      <c r="D701" s="189" t="s">
        <v>1856</v>
      </c>
      <c r="E701" s="325" t="s">
        <v>1854</v>
      </c>
      <c r="F701" s="316">
        <v>61.314340000000001</v>
      </c>
      <c r="G701" s="316">
        <v>62.314340000000001</v>
      </c>
      <c r="H701" s="325" t="s">
        <v>1112</v>
      </c>
      <c r="I701" s="101" t="s">
        <v>37</v>
      </c>
      <c r="J701" s="304">
        <v>270</v>
      </c>
      <c r="K701" s="316">
        <v>1.3716200000000001</v>
      </c>
      <c r="L701" s="304">
        <v>18</v>
      </c>
      <c r="M701" s="325" t="s">
        <v>1834</v>
      </c>
      <c r="N701" s="325" t="s">
        <v>21</v>
      </c>
      <c r="O701" s="101">
        <v>2023</v>
      </c>
      <c r="P701" s="168"/>
    </row>
    <row r="702" spans="1:16" ht="22.15" customHeight="1" x14ac:dyDescent="0.25">
      <c r="A702" s="128"/>
      <c r="B702" s="502" t="s">
        <v>22</v>
      </c>
      <c r="C702" s="503"/>
      <c r="D702" s="195"/>
      <c r="E702" s="128"/>
      <c r="F702" s="245">
        <f>F701</f>
        <v>61.314340000000001</v>
      </c>
      <c r="G702" s="245">
        <f>G701</f>
        <v>62.314340000000001</v>
      </c>
      <c r="H702" s="128"/>
      <c r="I702" s="128"/>
      <c r="J702" s="128"/>
      <c r="K702" s="245">
        <f>K701</f>
        <v>1.3716200000000001</v>
      </c>
      <c r="L702" s="128"/>
      <c r="M702" s="128"/>
      <c r="N702" s="128"/>
      <c r="O702" s="128"/>
      <c r="P702" s="231"/>
    </row>
    <row r="703" spans="1:16" ht="39.4" customHeight="1" x14ac:dyDescent="0.25">
      <c r="A703" s="128">
        <v>279</v>
      </c>
      <c r="B703" s="121" t="s">
        <v>60</v>
      </c>
      <c r="C703" s="121" t="s">
        <v>1857</v>
      </c>
      <c r="D703" s="121" t="s">
        <v>1858</v>
      </c>
      <c r="E703" s="101" t="s">
        <v>60</v>
      </c>
      <c r="F703" s="316">
        <v>134.47517999999999</v>
      </c>
      <c r="G703" s="316">
        <v>135.47517999999999</v>
      </c>
      <c r="H703" s="101" t="s">
        <v>1112</v>
      </c>
      <c r="I703" s="101" t="s">
        <v>1859</v>
      </c>
      <c r="J703" s="304">
        <v>337960</v>
      </c>
      <c r="K703" s="316">
        <v>5.7284220000000001</v>
      </c>
      <c r="L703" s="304">
        <v>24.65</v>
      </c>
      <c r="M703" s="101" t="s">
        <v>61</v>
      </c>
      <c r="N703" s="101" t="s">
        <v>21</v>
      </c>
      <c r="O703" s="101">
        <v>2023</v>
      </c>
      <c r="P703" s="168"/>
    </row>
    <row r="704" spans="1:16" ht="22.15" customHeight="1" x14ac:dyDescent="0.25">
      <c r="A704" s="128"/>
      <c r="B704" s="502" t="s">
        <v>22</v>
      </c>
      <c r="C704" s="503"/>
      <c r="D704" s="195"/>
      <c r="E704" s="128"/>
      <c r="F704" s="245">
        <f>F703</f>
        <v>134.47517999999999</v>
      </c>
      <c r="G704" s="245">
        <f>G703</f>
        <v>135.47517999999999</v>
      </c>
      <c r="H704" s="128"/>
      <c r="I704" s="128"/>
      <c r="J704" s="128"/>
      <c r="K704" s="245">
        <f>K703</f>
        <v>5.7284220000000001</v>
      </c>
      <c r="L704" s="128"/>
      <c r="M704" s="128"/>
      <c r="N704" s="128"/>
      <c r="O704" s="128"/>
      <c r="P704" s="231"/>
    </row>
    <row r="705" spans="1:16" ht="39.4" customHeight="1" x14ac:dyDescent="0.25">
      <c r="A705" s="128">
        <v>280</v>
      </c>
      <c r="B705" s="121" t="s">
        <v>1709</v>
      </c>
      <c r="C705" s="121" t="s">
        <v>1860</v>
      </c>
      <c r="D705" s="121" t="s">
        <v>1861</v>
      </c>
      <c r="E705" s="101" t="s">
        <v>1709</v>
      </c>
      <c r="F705" s="316">
        <v>11.0504</v>
      </c>
      <c r="G705" s="316">
        <v>12.0504</v>
      </c>
      <c r="H705" s="101" t="s">
        <v>1112</v>
      </c>
      <c r="I705" s="101" t="s">
        <v>37</v>
      </c>
      <c r="J705" s="304">
        <v>70.94</v>
      </c>
      <c r="K705" s="316">
        <v>0.40029999999999999</v>
      </c>
      <c r="L705" s="304">
        <v>58.47</v>
      </c>
      <c r="M705" s="101" t="s">
        <v>61</v>
      </c>
      <c r="N705" s="101" t="s">
        <v>21</v>
      </c>
      <c r="O705" s="101">
        <v>2023</v>
      </c>
      <c r="P705" s="168"/>
    </row>
    <row r="706" spans="1:16" ht="22.15" customHeight="1" x14ac:dyDescent="0.25">
      <c r="A706" s="128"/>
      <c r="B706" s="502" t="s">
        <v>22</v>
      </c>
      <c r="C706" s="503"/>
      <c r="D706" s="195"/>
      <c r="E706" s="128"/>
      <c r="F706" s="245">
        <f>F705</f>
        <v>11.0504</v>
      </c>
      <c r="G706" s="245">
        <f>G705</f>
        <v>12.0504</v>
      </c>
      <c r="H706" s="128"/>
      <c r="I706" s="128"/>
      <c r="J706" s="128"/>
      <c r="K706" s="245">
        <f>K705</f>
        <v>0.40029999999999999</v>
      </c>
      <c r="L706" s="128"/>
      <c r="M706" s="128"/>
      <c r="N706" s="128"/>
      <c r="O706" s="128"/>
      <c r="P706" s="231"/>
    </row>
    <row r="707" spans="1:16" ht="39.4" customHeight="1" x14ac:dyDescent="0.25">
      <c r="A707" s="128">
        <v>281</v>
      </c>
      <c r="B707" s="121" t="s">
        <v>1709</v>
      </c>
      <c r="C707" s="121" t="s">
        <v>1862</v>
      </c>
      <c r="D707" s="121" t="s">
        <v>1863</v>
      </c>
      <c r="E707" s="101" t="s">
        <v>1709</v>
      </c>
      <c r="F707" s="316">
        <v>30.199000000000002</v>
      </c>
      <c r="G707" s="316">
        <v>31.199000000000002</v>
      </c>
      <c r="H707" s="101" t="s">
        <v>1112</v>
      </c>
      <c r="I707" s="352" t="s">
        <v>37</v>
      </c>
      <c r="J707" s="246">
        <v>65.400000000000006</v>
      </c>
      <c r="K707" s="351">
        <v>0.32950000000000002</v>
      </c>
      <c r="L707" s="246">
        <v>59.2</v>
      </c>
      <c r="M707" s="33" t="s">
        <v>61</v>
      </c>
      <c r="N707" s="101" t="s">
        <v>21</v>
      </c>
      <c r="O707" s="101">
        <v>2023</v>
      </c>
      <c r="P707" s="168"/>
    </row>
    <row r="708" spans="1:16" ht="22.15" customHeight="1" x14ac:dyDescent="0.25">
      <c r="A708" s="128"/>
      <c r="B708" s="502" t="s">
        <v>22</v>
      </c>
      <c r="C708" s="503"/>
      <c r="D708" s="195"/>
      <c r="E708" s="128"/>
      <c r="F708" s="245">
        <f>F707</f>
        <v>30.199000000000002</v>
      </c>
      <c r="G708" s="245">
        <f>G707</f>
        <v>31.199000000000002</v>
      </c>
      <c r="H708" s="128"/>
      <c r="I708" s="128"/>
      <c r="J708" s="128"/>
      <c r="K708" s="245">
        <f>K707</f>
        <v>0.32950000000000002</v>
      </c>
      <c r="L708" s="128"/>
      <c r="M708" s="128"/>
      <c r="N708" s="128"/>
      <c r="O708" s="128"/>
      <c r="P708" s="231"/>
    </row>
    <row r="709" spans="1:16" ht="39.4" customHeight="1" x14ac:dyDescent="0.25">
      <c r="A709" s="128">
        <v>282</v>
      </c>
      <c r="B709" s="121" t="s">
        <v>1709</v>
      </c>
      <c r="C709" s="121" t="s">
        <v>1864</v>
      </c>
      <c r="D709" s="121" t="s">
        <v>1865</v>
      </c>
      <c r="E709" s="101" t="s">
        <v>1709</v>
      </c>
      <c r="F709" s="316">
        <v>11.523199999999999</v>
      </c>
      <c r="G709" s="316">
        <v>12.523199999999999</v>
      </c>
      <c r="H709" s="101" t="s">
        <v>1112</v>
      </c>
      <c r="I709" s="265" t="s">
        <v>37</v>
      </c>
      <c r="J709" s="256">
        <v>170.04</v>
      </c>
      <c r="K709" s="316">
        <v>0.95950000000000002</v>
      </c>
      <c r="L709" s="254">
        <v>10.48</v>
      </c>
      <c r="M709" s="353" t="s">
        <v>61</v>
      </c>
      <c r="N709" s="101" t="s">
        <v>21</v>
      </c>
      <c r="O709" s="101">
        <v>2023</v>
      </c>
      <c r="P709" s="168"/>
    </row>
    <row r="710" spans="1:16" ht="22.15" customHeight="1" x14ac:dyDescent="0.25">
      <c r="A710" s="128"/>
      <c r="B710" s="502" t="s">
        <v>22</v>
      </c>
      <c r="C710" s="503"/>
      <c r="D710" s="195"/>
      <c r="E710" s="128"/>
      <c r="F710" s="245">
        <f>F709</f>
        <v>11.523199999999999</v>
      </c>
      <c r="G710" s="245">
        <f>G709</f>
        <v>12.523199999999999</v>
      </c>
      <c r="H710" s="128"/>
      <c r="I710" s="128"/>
      <c r="J710" s="128"/>
      <c r="K710" s="245">
        <f>K709</f>
        <v>0.95950000000000002</v>
      </c>
      <c r="L710" s="128"/>
      <c r="M710" s="128"/>
      <c r="N710" s="128"/>
      <c r="O710" s="128"/>
      <c r="P710" s="231"/>
    </row>
    <row r="711" spans="1:16" ht="24" customHeight="1" x14ac:dyDescent="0.25">
      <c r="A711" s="447">
        <v>283</v>
      </c>
      <c r="B711" s="495" t="s">
        <v>1866</v>
      </c>
      <c r="C711" s="495" t="s">
        <v>1867</v>
      </c>
      <c r="D711" s="121" t="s">
        <v>1868</v>
      </c>
      <c r="E711" s="449" t="s">
        <v>1866</v>
      </c>
      <c r="F711" s="488">
        <v>91</v>
      </c>
      <c r="G711" s="488">
        <v>92</v>
      </c>
      <c r="H711" s="449" t="s">
        <v>1112</v>
      </c>
      <c r="I711" s="101" t="s">
        <v>37</v>
      </c>
      <c r="J711" s="304">
        <v>1881.32</v>
      </c>
      <c r="K711" s="316">
        <v>8.8626100000000001</v>
      </c>
      <c r="L711" s="497">
        <v>11.35</v>
      </c>
      <c r="M711" s="449" t="s">
        <v>499</v>
      </c>
      <c r="N711" s="449" t="s">
        <v>21</v>
      </c>
      <c r="O711" s="449">
        <v>2023</v>
      </c>
      <c r="P711" s="168"/>
    </row>
    <row r="712" spans="1:16" ht="18" customHeight="1" x14ac:dyDescent="0.25">
      <c r="A712" s="448"/>
      <c r="B712" s="496"/>
      <c r="C712" s="496"/>
      <c r="D712" s="121" t="s">
        <v>1869</v>
      </c>
      <c r="E712" s="433"/>
      <c r="F712" s="489"/>
      <c r="G712" s="489"/>
      <c r="H712" s="433"/>
      <c r="I712" s="101" t="s">
        <v>1859</v>
      </c>
      <c r="J712" s="304">
        <v>7980</v>
      </c>
      <c r="K712" s="316">
        <v>0.28727999999999998</v>
      </c>
      <c r="L712" s="498"/>
      <c r="M712" s="433"/>
      <c r="N712" s="433"/>
      <c r="O712" s="433"/>
      <c r="P712" s="168"/>
    </row>
    <row r="713" spans="1:16" ht="22.15" customHeight="1" x14ac:dyDescent="0.25">
      <c r="A713" s="128"/>
      <c r="B713" s="502" t="s">
        <v>22</v>
      </c>
      <c r="C713" s="503"/>
      <c r="D713" s="195"/>
      <c r="E713" s="128"/>
      <c r="F713" s="245">
        <f>F711</f>
        <v>91</v>
      </c>
      <c r="G713" s="245">
        <f>G711</f>
        <v>92</v>
      </c>
      <c r="H713" s="128"/>
      <c r="I713" s="128"/>
      <c r="J713" s="128"/>
      <c r="K713" s="245">
        <f>K711+K712</f>
        <v>9.1498899999999992</v>
      </c>
      <c r="L713" s="128"/>
      <c r="M713" s="128"/>
      <c r="N713" s="128"/>
      <c r="O713" s="128"/>
      <c r="P713" s="231"/>
    </row>
    <row r="714" spans="1:16" ht="23.1" customHeight="1" x14ac:dyDescent="0.25">
      <c r="A714" s="447">
        <v>284</v>
      </c>
      <c r="B714" s="495" t="s">
        <v>1870</v>
      </c>
      <c r="C714" s="13" t="s">
        <v>1840</v>
      </c>
      <c r="D714" s="13" t="s">
        <v>1840</v>
      </c>
      <c r="E714" s="449" t="s">
        <v>1870</v>
      </c>
      <c r="F714" s="316">
        <v>2.5630999999999999</v>
      </c>
      <c r="G714" s="316">
        <v>2.5630999999999999</v>
      </c>
      <c r="H714" s="449" t="s">
        <v>1112</v>
      </c>
      <c r="I714" s="101" t="s">
        <v>133</v>
      </c>
      <c r="J714" s="304">
        <v>0.02</v>
      </c>
      <c r="K714" s="316">
        <v>0.21460000000000001</v>
      </c>
      <c r="L714" s="304">
        <v>11.9</v>
      </c>
      <c r="M714" s="449" t="s">
        <v>1061</v>
      </c>
      <c r="N714" s="449" t="s">
        <v>21</v>
      </c>
      <c r="O714" s="449">
        <v>2023</v>
      </c>
      <c r="P714" s="168"/>
    </row>
    <row r="715" spans="1:16" ht="20.65" customHeight="1" x14ac:dyDescent="0.25">
      <c r="A715" s="448"/>
      <c r="B715" s="496"/>
      <c r="C715" s="13" t="s">
        <v>1841</v>
      </c>
      <c r="D715" s="13" t="s">
        <v>1841</v>
      </c>
      <c r="E715" s="433"/>
      <c r="F715" s="316">
        <v>0.36220000000000002</v>
      </c>
      <c r="G715" s="316">
        <v>0.36220000000000002</v>
      </c>
      <c r="H715" s="433"/>
      <c r="I715" s="101" t="s">
        <v>133</v>
      </c>
      <c r="J715" s="304">
        <v>0.01</v>
      </c>
      <c r="K715" s="316">
        <v>9.2999999999999999E-2</v>
      </c>
      <c r="L715" s="304">
        <v>3.9</v>
      </c>
      <c r="M715" s="433"/>
      <c r="N715" s="433"/>
      <c r="O715" s="433"/>
      <c r="P715" s="168"/>
    </row>
    <row r="716" spans="1:16" ht="22.15" customHeight="1" x14ac:dyDescent="0.25">
      <c r="A716" s="128"/>
      <c r="B716" s="502" t="s">
        <v>22</v>
      </c>
      <c r="C716" s="503"/>
      <c r="D716" s="195"/>
      <c r="E716" s="128"/>
      <c r="F716" s="245">
        <f>F714+F715</f>
        <v>2.9253</v>
      </c>
      <c r="G716" s="245">
        <f>G714+G715</f>
        <v>2.9253</v>
      </c>
      <c r="H716" s="128"/>
      <c r="I716" s="128"/>
      <c r="J716" s="128"/>
      <c r="K716" s="245">
        <f>K714+K715</f>
        <v>0.30759999999999998</v>
      </c>
      <c r="L716" s="128"/>
      <c r="M716" s="128"/>
      <c r="N716" s="128"/>
      <c r="O716" s="128"/>
      <c r="P716" s="231"/>
    </row>
    <row r="717" spans="1:16" ht="39.4" customHeight="1" x14ac:dyDescent="0.25">
      <c r="A717" s="447">
        <v>285</v>
      </c>
      <c r="B717" s="495" t="s">
        <v>1872</v>
      </c>
      <c r="C717" s="547" t="s">
        <v>1873</v>
      </c>
      <c r="D717" s="13" t="s">
        <v>1874</v>
      </c>
      <c r="E717" s="449" t="s">
        <v>1903</v>
      </c>
      <c r="F717" s="316">
        <v>2.8</v>
      </c>
      <c r="G717" s="316">
        <v>2.8</v>
      </c>
      <c r="H717" s="449" t="s">
        <v>1112</v>
      </c>
      <c r="I717" s="101" t="s">
        <v>283</v>
      </c>
      <c r="J717" s="304">
        <v>4400</v>
      </c>
      <c r="K717" s="316">
        <v>0.13789999999999999</v>
      </c>
      <c r="L717" s="304">
        <v>20.3</v>
      </c>
      <c r="M717" s="449" t="s">
        <v>471</v>
      </c>
      <c r="N717" s="101" t="s">
        <v>21</v>
      </c>
      <c r="O717" s="101">
        <v>2024</v>
      </c>
      <c r="P717" s="168"/>
    </row>
    <row r="718" spans="1:16" ht="39.4" customHeight="1" x14ac:dyDescent="0.25">
      <c r="A718" s="448"/>
      <c r="B718" s="504"/>
      <c r="C718" s="548"/>
      <c r="D718" s="13" t="s">
        <v>1875</v>
      </c>
      <c r="E718" s="433"/>
      <c r="F718" s="316">
        <v>1.448</v>
      </c>
      <c r="G718" s="316">
        <v>1.448</v>
      </c>
      <c r="H718" s="433"/>
      <c r="I718" s="101" t="s">
        <v>283</v>
      </c>
      <c r="J718" s="304">
        <v>18000</v>
      </c>
      <c r="K718" s="316">
        <v>0.56420000000000003</v>
      </c>
      <c r="L718" s="304">
        <v>2.6</v>
      </c>
      <c r="M718" s="433"/>
      <c r="N718" s="101" t="s">
        <v>21</v>
      </c>
      <c r="O718" s="101">
        <v>2024</v>
      </c>
      <c r="P718" s="168"/>
    </row>
    <row r="719" spans="1:16" ht="22.15" customHeight="1" x14ac:dyDescent="0.25">
      <c r="A719" s="128"/>
      <c r="B719" s="502" t="s">
        <v>22</v>
      </c>
      <c r="C719" s="503"/>
      <c r="D719" s="195"/>
      <c r="E719" s="128"/>
      <c r="F719" s="245">
        <f>F718+F717</f>
        <v>4.2479999999999993</v>
      </c>
      <c r="G719" s="245">
        <f>G718+G717</f>
        <v>4.2479999999999993</v>
      </c>
      <c r="H719" s="245"/>
      <c r="I719" s="245"/>
      <c r="J719" s="245"/>
      <c r="K719" s="245">
        <f t="shared" ref="K719" si="1">K718+K717</f>
        <v>0.70210000000000006</v>
      </c>
      <c r="L719" s="128"/>
      <c r="M719" s="128"/>
      <c r="N719" s="128"/>
      <c r="O719" s="128"/>
      <c r="P719" s="231"/>
    </row>
    <row r="720" spans="1:16" ht="24" customHeight="1" x14ac:dyDescent="0.25">
      <c r="A720" s="447">
        <v>286</v>
      </c>
      <c r="B720" s="495" t="s">
        <v>1872</v>
      </c>
      <c r="C720" s="495" t="s">
        <v>1877</v>
      </c>
      <c r="D720" s="121" t="s">
        <v>1878</v>
      </c>
      <c r="E720" s="449" t="s">
        <v>1904</v>
      </c>
      <c r="F720" s="316">
        <v>4.0415999999999999</v>
      </c>
      <c r="G720" s="316">
        <v>4.0415999999999999</v>
      </c>
      <c r="H720" s="449" t="s">
        <v>1112</v>
      </c>
      <c r="I720" s="101" t="s">
        <v>37</v>
      </c>
      <c r="J720" s="304">
        <v>62</v>
      </c>
      <c r="K720" s="316">
        <v>0.58389999999999997</v>
      </c>
      <c r="L720" s="304">
        <v>6.9</v>
      </c>
      <c r="M720" s="449" t="s">
        <v>471</v>
      </c>
      <c r="N720" s="101" t="s">
        <v>21</v>
      </c>
      <c r="O720" s="101">
        <v>2024</v>
      </c>
      <c r="P720" s="168"/>
    </row>
    <row r="721" spans="1:16" ht="20.65" customHeight="1" x14ac:dyDescent="0.25">
      <c r="A721" s="491"/>
      <c r="B721" s="504"/>
      <c r="C721" s="504"/>
      <c r="D721" s="121" t="s">
        <v>1879</v>
      </c>
      <c r="E721" s="490"/>
      <c r="F721" s="316">
        <v>0.88300000000000001</v>
      </c>
      <c r="G721" s="316">
        <v>0.88300000000000001</v>
      </c>
      <c r="H721" s="490"/>
      <c r="I721" s="101" t="s">
        <v>37</v>
      </c>
      <c r="J721" s="304">
        <v>19.399999999999999</v>
      </c>
      <c r="K721" s="316">
        <v>0.1827</v>
      </c>
      <c r="L721" s="304">
        <v>4.8</v>
      </c>
      <c r="M721" s="490"/>
      <c r="N721" s="101" t="s">
        <v>21</v>
      </c>
      <c r="O721" s="101">
        <v>2024</v>
      </c>
      <c r="P721" s="168"/>
    </row>
    <row r="722" spans="1:16" ht="39.4" customHeight="1" x14ac:dyDescent="0.25">
      <c r="A722" s="491"/>
      <c r="B722" s="504"/>
      <c r="C722" s="504"/>
      <c r="D722" s="121" t="s">
        <v>1880</v>
      </c>
      <c r="E722" s="490"/>
      <c r="F722" s="316">
        <v>1.9427000000000001</v>
      </c>
      <c r="G722" s="316">
        <v>1.9427000000000001</v>
      </c>
      <c r="H722" s="490"/>
      <c r="I722" s="101" t="s">
        <v>37</v>
      </c>
      <c r="J722" s="304">
        <v>28.1</v>
      </c>
      <c r="K722" s="316">
        <v>0.2646</v>
      </c>
      <c r="L722" s="304">
        <v>7.3</v>
      </c>
      <c r="M722" s="490"/>
      <c r="N722" s="101" t="s">
        <v>21</v>
      </c>
      <c r="O722" s="101">
        <v>2024</v>
      </c>
      <c r="P722" s="168"/>
    </row>
    <row r="723" spans="1:16" ht="39.4" customHeight="1" x14ac:dyDescent="0.25">
      <c r="A723" s="448"/>
      <c r="B723" s="496"/>
      <c r="C723" s="496"/>
      <c r="D723" s="121" t="s">
        <v>1881</v>
      </c>
      <c r="E723" s="433"/>
      <c r="F723" s="316">
        <v>2.7147999999999999</v>
      </c>
      <c r="G723" s="316">
        <v>2.7147999999999999</v>
      </c>
      <c r="H723" s="433"/>
      <c r="I723" s="101" t="s">
        <v>37</v>
      </c>
      <c r="J723" s="304">
        <v>52.9</v>
      </c>
      <c r="K723" s="316">
        <v>0.49819999999999998</v>
      </c>
      <c r="L723" s="304">
        <v>5.5</v>
      </c>
      <c r="M723" s="433"/>
      <c r="N723" s="101" t="s">
        <v>21</v>
      </c>
      <c r="O723" s="101">
        <v>2024</v>
      </c>
      <c r="P723" s="168"/>
    </row>
    <row r="724" spans="1:16" ht="22.15" customHeight="1" x14ac:dyDescent="0.25">
      <c r="A724" s="128"/>
      <c r="B724" s="502" t="s">
        <v>22</v>
      </c>
      <c r="C724" s="503"/>
      <c r="D724" s="195"/>
      <c r="E724" s="128"/>
      <c r="F724" s="245">
        <f>F723+F720+F721+F722</f>
        <v>9.5820999999999987</v>
      </c>
      <c r="G724" s="245">
        <f>G723+G720+G721+G722</f>
        <v>9.5820999999999987</v>
      </c>
      <c r="H724" s="245"/>
      <c r="I724" s="245"/>
      <c r="J724" s="245"/>
      <c r="K724" s="245">
        <f t="shared" ref="K724" si="2">K723+K720+K721+K722</f>
        <v>1.5294000000000001</v>
      </c>
      <c r="L724" s="128"/>
      <c r="M724" s="128"/>
      <c r="N724" s="128"/>
      <c r="O724" s="128"/>
      <c r="P724" s="231"/>
    </row>
    <row r="725" spans="1:16" ht="39.4" customHeight="1" x14ac:dyDescent="0.25">
      <c r="A725" s="447">
        <v>287</v>
      </c>
      <c r="B725" s="495" t="s">
        <v>1872</v>
      </c>
      <c r="C725" s="541" t="s">
        <v>1882</v>
      </c>
      <c r="D725" s="121" t="s">
        <v>1883</v>
      </c>
      <c r="E725" s="449" t="s">
        <v>1904</v>
      </c>
      <c r="F725" s="316">
        <v>94.298500000000004</v>
      </c>
      <c r="G725" s="316">
        <v>94.298500000000004</v>
      </c>
      <c r="H725" s="449" t="s">
        <v>1112</v>
      </c>
      <c r="I725" s="101" t="s">
        <v>1170</v>
      </c>
      <c r="J725" s="304" t="s">
        <v>1887</v>
      </c>
      <c r="K725" s="316">
        <v>54.712000000000003</v>
      </c>
      <c r="L725" s="304">
        <v>1.7</v>
      </c>
      <c r="M725" s="449" t="s">
        <v>471</v>
      </c>
      <c r="N725" s="101" t="s">
        <v>21</v>
      </c>
      <c r="O725" s="101">
        <v>2024</v>
      </c>
      <c r="P725" s="168"/>
    </row>
    <row r="726" spans="1:16" ht="39.4" customHeight="1" x14ac:dyDescent="0.25">
      <c r="A726" s="491"/>
      <c r="B726" s="504"/>
      <c r="C726" s="542"/>
      <c r="D726" s="121" t="s">
        <v>1884</v>
      </c>
      <c r="E726" s="490"/>
      <c r="F726" s="316">
        <v>18.7333</v>
      </c>
      <c r="G726" s="316">
        <v>18.7333</v>
      </c>
      <c r="H726" s="490"/>
      <c r="I726" s="101" t="s">
        <v>283</v>
      </c>
      <c r="J726" s="304">
        <v>782700</v>
      </c>
      <c r="K726" s="316">
        <v>24.532800000000002</v>
      </c>
      <c r="L726" s="304">
        <v>0.8</v>
      </c>
      <c r="M726" s="490"/>
      <c r="N726" s="101" t="s">
        <v>21</v>
      </c>
      <c r="O726" s="101">
        <v>2024</v>
      </c>
      <c r="P726" s="168"/>
    </row>
    <row r="727" spans="1:16" ht="39.4" customHeight="1" x14ac:dyDescent="0.25">
      <c r="A727" s="491"/>
      <c r="B727" s="504"/>
      <c r="C727" s="542"/>
      <c r="D727" s="121" t="s">
        <v>1885</v>
      </c>
      <c r="E727" s="490"/>
      <c r="F727" s="316">
        <v>6.8247999999999998</v>
      </c>
      <c r="G727" s="316">
        <v>6.8247999999999998</v>
      </c>
      <c r="H727" s="490"/>
      <c r="I727" s="101" t="s">
        <v>283</v>
      </c>
      <c r="J727" s="304">
        <v>493000</v>
      </c>
      <c r="K727" s="316">
        <v>15.452500000000001</v>
      </c>
      <c r="L727" s="304">
        <v>0.4</v>
      </c>
      <c r="M727" s="490"/>
      <c r="N727" s="101" t="s">
        <v>21</v>
      </c>
      <c r="O727" s="101">
        <v>2024</v>
      </c>
      <c r="P727" s="168"/>
    </row>
    <row r="728" spans="1:16" ht="39.4" customHeight="1" x14ac:dyDescent="0.25">
      <c r="A728" s="448"/>
      <c r="B728" s="496"/>
      <c r="C728" s="543"/>
      <c r="D728" s="121" t="s">
        <v>1886</v>
      </c>
      <c r="E728" s="433"/>
      <c r="F728" s="316">
        <v>10.996700000000001</v>
      </c>
      <c r="G728" s="316">
        <v>10.996700000000001</v>
      </c>
      <c r="H728" s="433"/>
      <c r="I728" s="101" t="s">
        <v>283</v>
      </c>
      <c r="J728" s="304" t="s">
        <v>1888</v>
      </c>
      <c r="K728" s="316">
        <v>139.0598</v>
      </c>
      <c r="L728" s="304">
        <v>0.1</v>
      </c>
      <c r="M728" s="433"/>
      <c r="N728" s="101" t="s">
        <v>21</v>
      </c>
      <c r="O728" s="101">
        <v>2024</v>
      </c>
      <c r="P728" s="168"/>
    </row>
    <row r="729" spans="1:16" ht="22.15" customHeight="1" x14ac:dyDescent="0.25">
      <c r="A729" s="128"/>
      <c r="B729" s="502" t="s">
        <v>22</v>
      </c>
      <c r="C729" s="503"/>
      <c r="D729" s="195"/>
      <c r="E729" s="128"/>
      <c r="F729" s="245">
        <f>F728+F725+F726+F727</f>
        <v>130.85330000000002</v>
      </c>
      <c r="G729" s="245">
        <f>G728+G725+G726+G727</f>
        <v>130.85330000000002</v>
      </c>
      <c r="H729" s="245"/>
      <c r="I729" s="245"/>
      <c r="J729" s="245"/>
      <c r="K729" s="245">
        <f>K728+K725+K726+K727</f>
        <v>233.75709999999998</v>
      </c>
      <c r="L729" s="128"/>
      <c r="M729" s="128"/>
      <c r="N729" s="128"/>
      <c r="O729" s="128"/>
      <c r="P729" s="231"/>
    </row>
    <row r="730" spans="1:16" ht="54.95" customHeight="1" x14ac:dyDescent="0.25">
      <c r="A730" s="128">
        <v>288</v>
      </c>
      <c r="B730" s="121" t="s">
        <v>1711</v>
      </c>
      <c r="C730" s="121" t="s">
        <v>1889</v>
      </c>
      <c r="D730" s="121" t="s">
        <v>1889</v>
      </c>
      <c r="E730" s="101" t="s">
        <v>1711</v>
      </c>
      <c r="F730" s="316">
        <v>2.152552</v>
      </c>
      <c r="G730" s="316">
        <v>3.152552</v>
      </c>
      <c r="H730" s="101" t="s">
        <v>1905</v>
      </c>
      <c r="I730" s="101" t="s">
        <v>133</v>
      </c>
      <c r="J730" s="304">
        <v>24.28</v>
      </c>
      <c r="K730" s="316">
        <v>0.52400000000000002</v>
      </c>
      <c r="L730" s="304">
        <v>6</v>
      </c>
      <c r="M730" s="101" t="s">
        <v>499</v>
      </c>
      <c r="N730" s="101"/>
      <c r="O730" s="101"/>
      <c r="P730" s="168"/>
    </row>
    <row r="731" spans="1:16" ht="22.15" customHeight="1" x14ac:dyDescent="0.25">
      <c r="A731" s="128"/>
      <c r="B731" s="502" t="s">
        <v>22</v>
      </c>
      <c r="C731" s="503"/>
      <c r="D731" s="195"/>
      <c r="E731" s="128"/>
      <c r="F731" s="245">
        <f>F730</f>
        <v>2.152552</v>
      </c>
      <c r="G731" s="245">
        <f>G730</f>
        <v>3.152552</v>
      </c>
      <c r="H731" s="128"/>
      <c r="I731" s="128"/>
      <c r="J731" s="128"/>
      <c r="K731" s="245">
        <f>K730</f>
        <v>0.52400000000000002</v>
      </c>
      <c r="L731" s="128"/>
      <c r="M731" s="128"/>
      <c r="N731" s="128"/>
      <c r="O731" s="128"/>
      <c r="P731" s="231"/>
    </row>
    <row r="732" spans="1:16" ht="39.4" customHeight="1" x14ac:dyDescent="0.25">
      <c r="A732" s="128">
        <v>289</v>
      </c>
      <c r="B732" s="121" t="s">
        <v>1711</v>
      </c>
      <c r="C732" s="121" t="s">
        <v>1890</v>
      </c>
      <c r="D732" s="121" t="s">
        <v>1890</v>
      </c>
      <c r="E732" s="101" t="s">
        <v>1711</v>
      </c>
      <c r="F732" s="316">
        <v>1.330357</v>
      </c>
      <c r="G732" s="316">
        <v>2.3303569999999998</v>
      </c>
      <c r="H732" s="101" t="s">
        <v>1905</v>
      </c>
      <c r="I732" s="101" t="s">
        <v>133</v>
      </c>
      <c r="J732" s="304">
        <v>17.899999999999999</v>
      </c>
      <c r="K732" s="316">
        <v>0.38700000000000001</v>
      </c>
      <c r="L732" s="304">
        <v>6</v>
      </c>
      <c r="M732" s="101" t="s">
        <v>499</v>
      </c>
      <c r="N732" s="101"/>
      <c r="O732" s="101"/>
      <c r="P732" s="168"/>
    </row>
    <row r="733" spans="1:16" ht="22.15" customHeight="1" x14ac:dyDescent="0.25">
      <c r="A733" s="128"/>
      <c r="B733" s="502" t="s">
        <v>22</v>
      </c>
      <c r="C733" s="503"/>
      <c r="D733" s="195"/>
      <c r="E733" s="128"/>
      <c r="F733" s="245">
        <f>F732</f>
        <v>1.330357</v>
      </c>
      <c r="G733" s="245">
        <f>G732</f>
        <v>2.3303569999999998</v>
      </c>
      <c r="H733" s="128"/>
      <c r="I733" s="128"/>
      <c r="J733" s="128"/>
      <c r="K733" s="245">
        <f>K732</f>
        <v>0.38700000000000001</v>
      </c>
      <c r="L733" s="128"/>
      <c r="M733" s="128"/>
      <c r="N733" s="128"/>
      <c r="O733" s="128"/>
      <c r="P733" s="231"/>
    </row>
    <row r="734" spans="1:16" ht="60" customHeight="1" x14ac:dyDescent="0.25">
      <c r="A734" s="128">
        <v>290</v>
      </c>
      <c r="B734" s="121" t="s">
        <v>1711</v>
      </c>
      <c r="C734" s="121" t="s">
        <v>1891</v>
      </c>
      <c r="D734" s="121" t="s">
        <v>1891</v>
      </c>
      <c r="E734" s="101" t="s">
        <v>1711</v>
      </c>
      <c r="F734" s="316">
        <v>5.305104</v>
      </c>
      <c r="G734" s="316">
        <v>6.305104</v>
      </c>
      <c r="H734" s="101" t="s">
        <v>1905</v>
      </c>
      <c r="I734" s="101" t="s">
        <v>133</v>
      </c>
      <c r="J734" s="304">
        <v>4.78</v>
      </c>
      <c r="K734" s="316">
        <v>1.0469999999999999</v>
      </c>
      <c r="L734" s="304">
        <v>6</v>
      </c>
      <c r="M734" s="101" t="s">
        <v>499</v>
      </c>
      <c r="N734" s="101"/>
      <c r="O734" s="101"/>
      <c r="P734" s="168"/>
    </row>
    <row r="735" spans="1:16" ht="22.15" customHeight="1" x14ac:dyDescent="0.25">
      <c r="A735" s="128"/>
      <c r="B735" s="502" t="s">
        <v>22</v>
      </c>
      <c r="C735" s="503"/>
      <c r="D735" s="195"/>
      <c r="E735" s="128"/>
      <c r="F735" s="245">
        <f>F734</f>
        <v>5.305104</v>
      </c>
      <c r="G735" s="245">
        <f>G734</f>
        <v>6.305104</v>
      </c>
      <c r="H735" s="128"/>
      <c r="I735" s="128"/>
      <c r="J735" s="128"/>
      <c r="K735" s="245">
        <f>K734</f>
        <v>1.0469999999999999</v>
      </c>
      <c r="L735" s="128"/>
      <c r="M735" s="128"/>
      <c r="N735" s="128"/>
      <c r="O735" s="128"/>
      <c r="P735" s="231"/>
    </row>
    <row r="736" spans="1:16" ht="59.65" customHeight="1" x14ac:dyDescent="0.25">
      <c r="A736" s="324">
        <v>291</v>
      </c>
      <c r="B736" s="189" t="s">
        <v>1711</v>
      </c>
      <c r="C736" s="121" t="s">
        <v>1892</v>
      </c>
      <c r="D736" s="121" t="s">
        <v>1892</v>
      </c>
      <c r="E736" s="325" t="s">
        <v>1711</v>
      </c>
      <c r="F736" s="316">
        <v>2.152552</v>
      </c>
      <c r="G736" s="316">
        <v>3.152552</v>
      </c>
      <c r="H736" s="325" t="s">
        <v>1905</v>
      </c>
      <c r="I736" s="101" t="s">
        <v>133</v>
      </c>
      <c r="J736" s="304">
        <v>24.28</v>
      </c>
      <c r="K736" s="316">
        <v>0.52400000000000002</v>
      </c>
      <c r="L736" s="304">
        <v>6</v>
      </c>
      <c r="M736" s="101" t="s">
        <v>499</v>
      </c>
      <c r="N736" s="101"/>
      <c r="O736" s="101"/>
      <c r="P736" s="168"/>
    </row>
    <row r="737" spans="1:16" ht="21.95" customHeight="1" x14ac:dyDescent="0.25">
      <c r="A737" s="128"/>
      <c r="B737" s="502" t="s">
        <v>22</v>
      </c>
      <c r="C737" s="503"/>
      <c r="D737" s="195"/>
      <c r="E737" s="128"/>
      <c r="F737" s="245">
        <f>F736</f>
        <v>2.152552</v>
      </c>
      <c r="G737" s="245">
        <f>G736</f>
        <v>3.152552</v>
      </c>
      <c r="H737" s="128"/>
      <c r="I737" s="128"/>
      <c r="J737" s="128"/>
      <c r="K737" s="245">
        <f>K736</f>
        <v>0.52400000000000002</v>
      </c>
      <c r="L737" s="128"/>
      <c r="M737" s="128"/>
      <c r="N737" s="128"/>
      <c r="O737" s="128"/>
      <c r="P737" s="231"/>
    </row>
    <row r="738" spans="1:16" ht="56.1" customHeight="1" x14ac:dyDescent="0.25">
      <c r="A738" s="324">
        <v>292</v>
      </c>
      <c r="B738" s="189" t="s">
        <v>1711</v>
      </c>
      <c r="C738" s="121" t="s">
        <v>1893</v>
      </c>
      <c r="D738" s="121" t="s">
        <v>1893</v>
      </c>
      <c r="E738" s="325" t="s">
        <v>1711</v>
      </c>
      <c r="F738" s="316">
        <v>1.330357</v>
      </c>
      <c r="G738" s="316">
        <v>2.3303569999999998</v>
      </c>
      <c r="H738" s="325" t="s">
        <v>1905</v>
      </c>
      <c r="I738" s="101" t="s">
        <v>133</v>
      </c>
      <c r="J738" s="304">
        <v>17.899999999999999</v>
      </c>
      <c r="K738" s="316">
        <v>0.38700000000000001</v>
      </c>
      <c r="L738" s="304">
        <v>6</v>
      </c>
      <c r="M738" s="101" t="s">
        <v>499</v>
      </c>
      <c r="N738" s="101"/>
      <c r="O738" s="101"/>
      <c r="P738" s="168"/>
    </row>
    <row r="739" spans="1:16" ht="21.95" customHeight="1" x14ac:dyDescent="0.25">
      <c r="A739" s="128"/>
      <c r="B739" s="502" t="s">
        <v>22</v>
      </c>
      <c r="C739" s="503"/>
      <c r="D739" s="195"/>
      <c r="E739" s="128"/>
      <c r="F739" s="245">
        <f>F738</f>
        <v>1.330357</v>
      </c>
      <c r="G739" s="245">
        <f>G738</f>
        <v>2.3303569999999998</v>
      </c>
      <c r="H739" s="128"/>
      <c r="I739" s="128"/>
      <c r="J739" s="128"/>
      <c r="K739" s="245">
        <f>K738</f>
        <v>0.38700000000000001</v>
      </c>
      <c r="L739" s="128"/>
      <c r="M739" s="128"/>
      <c r="N739" s="128"/>
      <c r="O739" s="128"/>
      <c r="P739" s="231"/>
    </row>
    <row r="740" spans="1:16" ht="55.7" customHeight="1" x14ac:dyDescent="0.25">
      <c r="A740" s="324">
        <v>293</v>
      </c>
      <c r="B740" s="189" t="s">
        <v>1711</v>
      </c>
      <c r="C740" s="121" t="s">
        <v>1894</v>
      </c>
      <c r="D740" s="121" t="s">
        <v>1894</v>
      </c>
      <c r="E740" s="325" t="s">
        <v>1711</v>
      </c>
      <c r="F740" s="316">
        <v>3.5158469999999999</v>
      </c>
      <c r="G740" s="316">
        <v>4.5158469999999999</v>
      </c>
      <c r="H740" s="325" t="s">
        <v>1905</v>
      </c>
      <c r="I740" s="101" t="s">
        <v>133</v>
      </c>
      <c r="J740" s="304">
        <v>34.799999999999997</v>
      </c>
      <c r="K740" s="316">
        <v>0.751</v>
      </c>
      <c r="L740" s="304">
        <v>6</v>
      </c>
      <c r="M740" s="325" t="s">
        <v>499</v>
      </c>
      <c r="N740" s="325"/>
      <c r="O740" s="101"/>
      <c r="P740" s="168"/>
    </row>
    <row r="741" spans="1:16" ht="22.15" customHeight="1" x14ac:dyDescent="0.25">
      <c r="A741" s="128"/>
      <c r="B741" s="502" t="s">
        <v>22</v>
      </c>
      <c r="C741" s="503"/>
      <c r="D741" s="195"/>
      <c r="E741" s="128"/>
      <c r="F741" s="245">
        <f>F740</f>
        <v>3.5158469999999999</v>
      </c>
      <c r="G741" s="245">
        <f>G740</f>
        <v>4.5158469999999999</v>
      </c>
      <c r="H741" s="128"/>
      <c r="I741" s="128"/>
      <c r="J741" s="128"/>
      <c r="K741" s="245">
        <f>K740</f>
        <v>0.751</v>
      </c>
      <c r="L741" s="128"/>
      <c r="M741" s="128"/>
      <c r="N741" s="128"/>
      <c r="O741" s="128"/>
      <c r="P741" s="231"/>
    </row>
    <row r="742" spans="1:16" ht="39.4" customHeight="1" x14ac:dyDescent="0.25">
      <c r="A742" s="128">
        <v>294</v>
      </c>
      <c r="B742" s="121" t="s">
        <v>1668</v>
      </c>
      <c r="C742" s="121" t="s">
        <v>1895</v>
      </c>
      <c r="D742" s="121" t="s">
        <v>1868</v>
      </c>
      <c r="E742" s="101" t="s">
        <v>1668</v>
      </c>
      <c r="F742" s="316">
        <v>32.038119999999999</v>
      </c>
      <c r="G742" s="316">
        <v>33.038119999999999</v>
      </c>
      <c r="H742" s="101" t="s">
        <v>1112</v>
      </c>
      <c r="I742" s="101" t="s">
        <v>1896</v>
      </c>
      <c r="J742" s="304">
        <v>532.6</v>
      </c>
      <c r="K742" s="316">
        <v>17.341999999999999</v>
      </c>
      <c r="L742" s="304">
        <v>1.72</v>
      </c>
      <c r="M742" s="101" t="s">
        <v>471</v>
      </c>
      <c r="N742" s="101" t="s">
        <v>21</v>
      </c>
      <c r="O742" s="101">
        <v>2023</v>
      </c>
      <c r="P742" s="168"/>
    </row>
    <row r="743" spans="1:16" ht="22.15" customHeight="1" x14ac:dyDescent="0.25">
      <c r="A743" s="128"/>
      <c r="B743" s="502" t="s">
        <v>22</v>
      </c>
      <c r="C743" s="503"/>
      <c r="D743" s="195"/>
      <c r="E743" s="128"/>
      <c r="F743" s="245">
        <f>F742</f>
        <v>32.038119999999999</v>
      </c>
      <c r="G743" s="245">
        <f>G742</f>
        <v>33.038119999999999</v>
      </c>
      <c r="H743" s="128"/>
      <c r="I743" s="128"/>
      <c r="J743" s="128"/>
      <c r="K743" s="245">
        <f>K742</f>
        <v>17.341999999999999</v>
      </c>
      <c r="L743" s="128"/>
      <c r="M743" s="128"/>
      <c r="N743" s="128"/>
      <c r="O743" s="128"/>
      <c r="P743" s="231"/>
    </row>
    <row r="744" spans="1:16" ht="39.4" customHeight="1" x14ac:dyDescent="0.25">
      <c r="A744" s="128">
        <v>295</v>
      </c>
      <c r="B744" s="121" t="s">
        <v>1897</v>
      </c>
      <c r="C744" s="121" t="s">
        <v>1898</v>
      </c>
      <c r="D744" s="121" t="s">
        <v>1899</v>
      </c>
      <c r="E744" s="101" t="s">
        <v>1897</v>
      </c>
      <c r="F744" s="316">
        <v>40.394739999999999</v>
      </c>
      <c r="G744" s="316">
        <v>41.394739999999999</v>
      </c>
      <c r="H744" s="101" t="s">
        <v>1112</v>
      </c>
      <c r="I744" s="101" t="s">
        <v>37</v>
      </c>
      <c r="J744" s="304">
        <v>250.15</v>
      </c>
      <c r="K744" s="316">
        <v>2.5255999999999998</v>
      </c>
      <c r="L744" s="304">
        <v>9.9499999999999993</v>
      </c>
      <c r="M744" s="101" t="s">
        <v>492</v>
      </c>
      <c r="N744" s="101" t="s">
        <v>21</v>
      </c>
      <c r="O744" s="101">
        <v>2023</v>
      </c>
      <c r="P744" s="168"/>
    </row>
    <row r="745" spans="1:16" ht="22.15" customHeight="1" x14ac:dyDescent="0.25">
      <c r="A745" s="128"/>
      <c r="B745" s="502" t="s">
        <v>22</v>
      </c>
      <c r="C745" s="503"/>
      <c r="D745" s="195"/>
      <c r="E745" s="128"/>
      <c r="F745" s="245">
        <f>F744</f>
        <v>40.394739999999999</v>
      </c>
      <c r="G745" s="245">
        <f>G744</f>
        <v>41.394739999999999</v>
      </c>
      <c r="H745" s="128"/>
      <c r="I745" s="128"/>
      <c r="J745" s="128"/>
      <c r="K745" s="245">
        <f>K744</f>
        <v>2.5255999999999998</v>
      </c>
      <c r="L745" s="128"/>
      <c r="M745" s="128"/>
      <c r="N745" s="128"/>
      <c r="O745" s="128"/>
      <c r="P745" s="231"/>
    </row>
    <row r="746" spans="1:16" ht="39.4" customHeight="1" x14ac:dyDescent="0.25">
      <c r="A746" s="128">
        <v>296</v>
      </c>
      <c r="B746" s="121" t="s">
        <v>1900</v>
      </c>
      <c r="C746" s="121" t="s">
        <v>1901</v>
      </c>
      <c r="D746" s="121" t="s">
        <v>1899</v>
      </c>
      <c r="E746" s="101" t="s">
        <v>1900</v>
      </c>
      <c r="F746" s="316">
        <v>106.8897</v>
      </c>
      <c r="G746" s="316">
        <v>107.8897</v>
      </c>
      <c r="H746" s="101" t="s">
        <v>1112</v>
      </c>
      <c r="I746" s="101" t="s">
        <v>1902</v>
      </c>
      <c r="J746" s="304">
        <v>106936</v>
      </c>
      <c r="K746" s="316">
        <v>10.0779</v>
      </c>
      <c r="L746" s="304">
        <v>6.8</v>
      </c>
      <c r="M746" s="101" t="s">
        <v>492</v>
      </c>
      <c r="N746" s="101" t="s">
        <v>21</v>
      </c>
      <c r="O746" s="101">
        <v>2023</v>
      </c>
      <c r="P746" s="168"/>
    </row>
    <row r="747" spans="1:16" ht="22.15" customHeight="1" x14ac:dyDescent="0.25">
      <c r="A747" s="128"/>
      <c r="B747" s="502" t="s">
        <v>22</v>
      </c>
      <c r="C747" s="503"/>
      <c r="D747" s="195"/>
      <c r="E747" s="128"/>
      <c r="F747" s="245">
        <f>F746</f>
        <v>106.8897</v>
      </c>
      <c r="G747" s="245">
        <f>G746</f>
        <v>107.8897</v>
      </c>
      <c r="H747" s="128"/>
      <c r="I747" s="128"/>
      <c r="J747" s="128"/>
      <c r="K747" s="245">
        <f>K746</f>
        <v>10.0779</v>
      </c>
      <c r="L747" s="128"/>
      <c r="M747" s="128"/>
      <c r="N747" s="128"/>
      <c r="O747" s="128"/>
      <c r="P747" s="231"/>
    </row>
    <row r="748" spans="1:16" ht="39.4" customHeight="1" x14ac:dyDescent="0.25">
      <c r="A748" s="128">
        <v>297</v>
      </c>
      <c r="B748" s="121" t="s">
        <v>1906</v>
      </c>
      <c r="C748" s="121" t="s">
        <v>1907</v>
      </c>
      <c r="D748" s="121" t="s">
        <v>1908</v>
      </c>
      <c r="E748" s="101" t="s">
        <v>1906</v>
      </c>
      <c r="F748" s="316">
        <v>1013.6962</v>
      </c>
      <c r="G748" s="316">
        <v>1014.6962</v>
      </c>
      <c r="H748" s="101" t="s">
        <v>427</v>
      </c>
      <c r="I748" s="101" t="s">
        <v>1902</v>
      </c>
      <c r="J748" s="304">
        <v>2467380</v>
      </c>
      <c r="K748" s="316">
        <v>148.95079999999999</v>
      </c>
      <c r="L748" s="304">
        <v>5</v>
      </c>
      <c r="M748" s="101" t="s">
        <v>466</v>
      </c>
      <c r="N748" s="101" t="s">
        <v>312</v>
      </c>
      <c r="O748" s="101">
        <v>2025</v>
      </c>
      <c r="P748" s="168"/>
    </row>
    <row r="749" spans="1:16" ht="22.15" customHeight="1" x14ac:dyDescent="0.25">
      <c r="A749" s="128"/>
      <c r="B749" s="502" t="s">
        <v>22</v>
      </c>
      <c r="C749" s="503"/>
      <c r="D749" s="195"/>
      <c r="E749" s="128"/>
      <c r="F749" s="245">
        <f>F748</f>
        <v>1013.6962</v>
      </c>
      <c r="G749" s="245">
        <f>G748</f>
        <v>1014.6962</v>
      </c>
      <c r="H749" s="128"/>
      <c r="I749" s="128"/>
      <c r="J749" s="128"/>
      <c r="K749" s="245">
        <f>K748</f>
        <v>148.95079999999999</v>
      </c>
      <c r="L749" s="128"/>
      <c r="M749" s="128"/>
      <c r="N749" s="128"/>
      <c r="O749" s="128"/>
      <c r="P749" s="231"/>
    </row>
    <row r="750" spans="1:16" ht="22.35" customHeight="1" x14ac:dyDescent="0.25">
      <c r="A750" s="447">
        <v>298</v>
      </c>
      <c r="B750" s="495" t="s">
        <v>1909</v>
      </c>
      <c r="C750" s="495" t="s">
        <v>1910</v>
      </c>
      <c r="D750" s="288" t="s">
        <v>1911</v>
      </c>
      <c r="E750" s="449" t="s">
        <v>1909</v>
      </c>
      <c r="F750" s="316">
        <v>1.1000000000000001</v>
      </c>
      <c r="G750" s="316">
        <v>1.1000000000000001</v>
      </c>
      <c r="H750" s="449" t="s">
        <v>1112</v>
      </c>
      <c r="I750" s="101" t="s">
        <v>1902</v>
      </c>
      <c r="J750" s="304">
        <v>13750</v>
      </c>
      <c r="K750" s="316">
        <v>0.33</v>
      </c>
      <c r="L750" s="304">
        <v>3.33</v>
      </c>
      <c r="M750" s="447" t="s">
        <v>1921</v>
      </c>
      <c r="N750" s="447" t="s">
        <v>21</v>
      </c>
      <c r="O750" s="101"/>
      <c r="P750" s="168"/>
    </row>
    <row r="751" spans="1:16" x14ac:dyDescent="0.25">
      <c r="A751" s="491"/>
      <c r="B751" s="504"/>
      <c r="C751" s="504"/>
      <c r="D751" s="288" t="s">
        <v>1912</v>
      </c>
      <c r="E751" s="490"/>
      <c r="F751" s="126">
        <v>0.2</v>
      </c>
      <c r="G751" s="126">
        <v>0.2</v>
      </c>
      <c r="H751" s="490"/>
      <c r="I751" s="128" t="s">
        <v>1924</v>
      </c>
      <c r="J751" s="128">
        <v>6000</v>
      </c>
      <c r="K751" s="126">
        <v>0.03</v>
      </c>
      <c r="L751" s="128">
        <v>6.67</v>
      </c>
      <c r="M751" s="491"/>
      <c r="N751" s="491"/>
      <c r="O751" s="128"/>
    </row>
    <row r="752" spans="1:16" x14ac:dyDescent="0.25">
      <c r="A752" s="491"/>
      <c r="B752" s="504"/>
      <c r="C752" s="504"/>
      <c r="D752" s="288" t="s">
        <v>1913</v>
      </c>
      <c r="E752" s="490"/>
      <c r="F752" s="126">
        <v>0.58499999999999996</v>
      </c>
      <c r="G752" s="126">
        <v>0.58499999999999996</v>
      </c>
      <c r="H752" s="490"/>
      <c r="I752" s="127" t="s">
        <v>1924</v>
      </c>
      <c r="J752" s="127">
        <v>2507</v>
      </c>
      <c r="K752" s="126">
        <v>8.7800000000000003E-2</v>
      </c>
      <c r="L752" s="128">
        <v>6.67</v>
      </c>
      <c r="M752" s="491"/>
      <c r="N752" s="491"/>
      <c r="O752" s="128"/>
    </row>
    <row r="753" spans="1:16" x14ac:dyDescent="0.25">
      <c r="A753" s="491"/>
      <c r="B753" s="504"/>
      <c r="C753" s="504"/>
      <c r="D753" s="288" t="s">
        <v>1914</v>
      </c>
      <c r="E753" s="490"/>
      <c r="F753" s="126">
        <v>0.75</v>
      </c>
      <c r="G753" s="126">
        <v>0.75</v>
      </c>
      <c r="H753" s="490"/>
      <c r="I753" s="128" t="s">
        <v>1924</v>
      </c>
      <c r="J753" s="128">
        <v>6188</v>
      </c>
      <c r="K753" s="126">
        <v>0.12379999999999999</v>
      </c>
      <c r="L753" s="128">
        <v>6.06</v>
      </c>
      <c r="M753" s="491"/>
      <c r="N753" s="491"/>
      <c r="O753" s="128"/>
    </row>
    <row r="754" spans="1:16" x14ac:dyDescent="0.25">
      <c r="A754" s="491"/>
      <c r="B754" s="504"/>
      <c r="C754" s="504"/>
      <c r="D754" s="288" t="s">
        <v>1915</v>
      </c>
      <c r="E754" s="490"/>
      <c r="F754" s="126">
        <v>1.268</v>
      </c>
      <c r="G754" s="126">
        <v>1.268</v>
      </c>
      <c r="H754" s="490"/>
      <c r="I754" s="128" t="s">
        <v>1925</v>
      </c>
      <c r="J754" s="128">
        <v>24000</v>
      </c>
      <c r="K754" s="126">
        <v>0.624</v>
      </c>
      <c r="L754" s="128">
        <v>2.0299999999999998</v>
      </c>
      <c r="M754" s="491"/>
      <c r="N754" s="491"/>
      <c r="O754" s="128"/>
    </row>
    <row r="755" spans="1:16" x14ac:dyDescent="0.25">
      <c r="A755" s="491"/>
      <c r="B755" s="504"/>
      <c r="C755" s="504"/>
      <c r="D755" s="288" t="s">
        <v>1916</v>
      </c>
      <c r="E755" s="490"/>
      <c r="F755" s="126">
        <v>0.98</v>
      </c>
      <c r="G755" s="126">
        <v>0.98</v>
      </c>
      <c r="H755" s="490"/>
      <c r="I755" s="127" t="s">
        <v>1924</v>
      </c>
      <c r="J755" s="127">
        <v>4760</v>
      </c>
      <c r="K755" s="126">
        <v>0.1666</v>
      </c>
      <c r="L755" s="128">
        <v>5.88</v>
      </c>
      <c r="M755" s="491"/>
      <c r="N755" s="491"/>
      <c r="O755" s="128"/>
    </row>
    <row r="756" spans="1:16" x14ac:dyDescent="0.25">
      <c r="A756" s="491"/>
      <c r="B756" s="504"/>
      <c r="C756" s="504"/>
      <c r="D756" s="288" t="s">
        <v>1917</v>
      </c>
      <c r="E756" s="490"/>
      <c r="F756" s="126">
        <v>0.28000000000000003</v>
      </c>
      <c r="G756" s="126">
        <v>0.28000000000000003</v>
      </c>
      <c r="H756" s="490"/>
      <c r="I756" s="128" t="s">
        <v>1902</v>
      </c>
      <c r="J756" s="128">
        <v>11200</v>
      </c>
      <c r="K756" s="126">
        <v>0.2576</v>
      </c>
      <c r="L756" s="128">
        <v>1.0900000000000001</v>
      </c>
      <c r="M756" s="491"/>
      <c r="N756" s="491"/>
      <c r="O756" s="128"/>
    </row>
    <row r="757" spans="1:16" x14ac:dyDescent="0.25">
      <c r="A757" s="491"/>
      <c r="B757" s="504"/>
      <c r="C757" s="504"/>
      <c r="D757" s="288" t="s">
        <v>1918</v>
      </c>
      <c r="E757" s="490"/>
      <c r="F757" s="126">
        <v>0.35</v>
      </c>
      <c r="G757" s="126">
        <v>0.35</v>
      </c>
      <c r="H757" s="490"/>
      <c r="I757" s="127" t="s">
        <v>1924</v>
      </c>
      <c r="J757" s="127">
        <v>2000</v>
      </c>
      <c r="K757" s="126">
        <v>7.0000000000000007E-2</v>
      </c>
      <c r="L757" s="128">
        <v>0.5</v>
      </c>
      <c r="M757" s="491"/>
      <c r="N757" s="491"/>
      <c r="O757" s="128"/>
    </row>
    <row r="758" spans="1:16" x14ac:dyDescent="0.25">
      <c r="A758" s="491"/>
      <c r="B758" s="504"/>
      <c r="C758" s="504"/>
      <c r="D758" s="271" t="s">
        <v>1919</v>
      </c>
      <c r="E758" s="490"/>
      <c r="F758" s="126">
        <v>0.15</v>
      </c>
      <c r="G758" s="126">
        <v>0.15</v>
      </c>
      <c r="H758" s="490"/>
      <c r="I758" s="128" t="s">
        <v>1902</v>
      </c>
      <c r="J758" s="128">
        <v>15000</v>
      </c>
      <c r="K758" s="126">
        <v>2.5499999999999998E-2</v>
      </c>
      <c r="L758" s="128">
        <v>5.88</v>
      </c>
      <c r="M758" s="491"/>
      <c r="N758" s="491"/>
      <c r="O758" s="128"/>
    </row>
    <row r="759" spans="1:16" x14ac:dyDescent="0.25">
      <c r="A759" s="448"/>
      <c r="B759" s="496"/>
      <c r="C759" s="496"/>
      <c r="D759" s="288" t="s">
        <v>1920</v>
      </c>
      <c r="E759" s="433"/>
      <c r="F759" s="126">
        <v>1.1000000000000001</v>
      </c>
      <c r="G759" s="126">
        <v>1.1000000000000001</v>
      </c>
      <c r="H759" s="433"/>
      <c r="I759" s="127" t="s">
        <v>1924</v>
      </c>
      <c r="J759" s="127">
        <v>14000</v>
      </c>
      <c r="K759" s="126">
        <v>0.16500000000000001</v>
      </c>
      <c r="L759" s="128">
        <v>6.67</v>
      </c>
      <c r="M759" s="448"/>
      <c r="N759" s="448"/>
      <c r="O759" s="128"/>
    </row>
    <row r="760" spans="1:16" ht="22.15" customHeight="1" x14ac:dyDescent="0.25">
      <c r="A760" s="128"/>
      <c r="B760" s="502" t="s">
        <v>22</v>
      </c>
      <c r="C760" s="503"/>
      <c r="D760" s="195"/>
      <c r="E760" s="128"/>
      <c r="F760" s="245">
        <f>F750+F751+F752+F753+F754+F755+F756+F757+F758+F759</f>
        <v>6.7629999999999999</v>
      </c>
      <c r="G760" s="245">
        <f>G750+G751+G752+G753+G754+G755+G756+G757+G758+G759</f>
        <v>6.7629999999999999</v>
      </c>
      <c r="H760" s="245"/>
      <c r="I760" s="245"/>
      <c r="J760" s="245"/>
      <c r="K760" s="245">
        <f t="shared" ref="K760" si="3">K750+K751+K752+K753+K754+K755+K756+K757+K758+K759</f>
        <v>1.8803000000000003</v>
      </c>
      <c r="L760" s="128"/>
      <c r="M760" s="128"/>
      <c r="N760" s="128"/>
      <c r="O760" s="128"/>
      <c r="P760" s="231"/>
    </row>
    <row r="761" spans="1:16" ht="23.1" customHeight="1" x14ac:dyDescent="0.25">
      <c r="A761" s="447">
        <v>299</v>
      </c>
      <c r="B761" s="544" t="s">
        <v>1909</v>
      </c>
      <c r="C761" s="495" t="s">
        <v>1910</v>
      </c>
      <c r="D761" s="121" t="s">
        <v>1911</v>
      </c>
      <c r="E761" s="449" t="s">
        <v>1909</v>
      </c>
      <c r="F761" s="316">
        <v>1</v>
      </c>
      <c r="G761" s="316">
        <v>1</v>
      </c>
      <c r="H761" s="449" t="s">
        <v>1112</v>
      </c>
      <c r="I761" s="101" t="s">
        <v>1902</v>
      </c>
      <c r="J761" s="304">
        <v>12000</v>
      </c>
      <c r="K761" s="316">
        <v>0.3</v>
      </c>
      <c r="L761" s="304">
        <v>3.33</v>
      </c>
      <c r="M761" s="449" t="s">
        <v>1921</v>
      </c>
      <c r="N761" s="447" t="s">
        <v>21</v>
      </c>
      <c r="O761" s="101"/>
      <c r="P761" s="168"/>
    </row>
    <row r="762" spans="1:16" x14ac:dyDescent="0.25">
      <c r="A762" s="491"/>
      <c r="B762" s="545"/>
      <c r="C762" s="504"/>
      <c r="D762" s="195" t="s">
        <v>1912</v>
      </c>
      <c r="E762" s="490"/>
      <c r="F762" s="126">
        <v>0.1</v>
      </c>
      <c r="G762" s="126">
        <v>0.1</v>
      </c>
      <c r="H762" s="490"/>
      <c r="I762" s="127" t="s">
        <v>1924</v>
      </c>
      <c r="J762" s="127">
        <v>5000</v>
      </c>
      <c r="K762" s="126">
        <v>0.1817</v>
      </c>
      <c r="L762" s="128">
        <v>0.55000000000000004</v>
      </c>
      <c r="M762" s="490"/>
      <c r="N762" s="491"/>
      <c r="O762" s="128"/>
    </row>
    <row r="763" spans="1:16" x14ac:dyDescent="0.25">
      <c r="A763" s="491"/>
      <c r="B763" s="545"/>
      <c r="C763" s="504"/>
      <c r="D763" s="195" t="s">
        <v>1913</v>
      </c>
      <c r="E763" s="490"/>
      <c r="F763" s="126">
        <v>0.42499999999999999</v>
      </c>
      <c r="G763" s="126">
        <v>0.42499999999999999</v>
      </c>
      <c r="H763" s="490"/>
      <c r="I763" s="128" t="s">
        <v>1924</v>
      </c>
      <c r="J763" s="128">
        <v>5000</v>
      </c>
      <c r="K763" s="126">
        <v>0.16750000000000001</v>
      </c>
      <c r="L763" s="128">
        <v>2.54</v>
      </c>
      <c r="M763" s="490"/>
      <c r="N763" s="491"/>
      <c r="O763" s="128"/>
    </row>
    <row r="764" spans="1:16" x14ac:dyDescent="0.25">
      <c r="A764" s="491"/>
      <c r="B764" s="545"/>
      <c r="C764" s="504"/>
      <c r="D764" s="195" t="s">
        <v>1914</v>
      </c>
      <c r="E764" s="490"/>
      <c r="F764" s="126">
        <v>0.68</v>
      </c>
      <c r="G764" s="126">
        <v>0.68</v>
      </c>
      <c r="H764" s="490"/>
      <c r="I764" s="128" t="s">
        <v>1924</v>
      </c>
      <c r="J764" s="128">
        <v>5181</v>
      </c>
      <c r="K764" s="126">
        <v>0.10879999999999999</v>
      </c>
      <c r="L764" s="128">
        <v>6.25</v>
      </c>
      <c r="M764" s="490"/>
      <c r="N764" s="491"/>
      <c r="O764" s="128"/>
    </row>
    <row r="765" spans="1:16" x14ac:dyDescent="0.25">
      <c r="A765" s="491"/>
      <c r="B765" s="545"/>
      <c r="C765" s="504"/>
      <c r="D765" s="195" t="s">
        <v>1915</v>
      </c>
      <c r="E765" s="490"/>
      <c r="F765" s="126">
        <v>1.1679999999999999</v>
      </c>
      <c r="G765" s="126">
        <v>1.1679999999999999</v>
      </c>
      <c r="H765" s="490"/>
      <c r="I765" s="127" t="s">
        <v>1902</v>
      </c>
      <c r="J765" s="127">
        <v>30000</v>
      </c>
      <c r="K765" s="126">
        <v>0.35039999999999999</v>
      </c>
      <c r="L765" s="128">
        <v>3.33</v>
      </c>
      <c r="M765" s="490"/>
      <c r="N765" s="491"/>
      <c r="O765" s="128"/>
    </row>
    <row r="766" spans="1:16" x14ac:dyDescent="0.25">
      <c r="A766" s="491"/>
      <c r="B766" s="545"/>
      <c r="C766" s="504"/>
      <c r="D766" s="195" t="s">
        <v>1916</v>
      </c>
      <c r="E766" s="490"/>
      <c r="F766" s="126">
        <v>0.9</v>
      </c>
      <c r="G766" s="126">
        <v>0.9</v>
      </c>
      <c r="H766" s="490"/>
      <c r="I766" s="128" t="s">
        <v>1924</v>
      </c>
      <c r="J766" s="128">
        <v>3857</v>
      </c>
      <c r="K766" s="126">
        <v>0.13500000000000001</v>
      </c>
      <c r="L766" s="128">
        <v>6.67</v>
      </c>
      <c r="M766" s="490"/>
      <c r="N766" s="491"/>
      <c r="O766" s="128"/>
    </row>
    <row r="767" spans="1:16" x14ac:dyDescent="0.25">
      <c r="A767" s="491"/>
      <c r="B767" s="545"/>
      <c r="C767" s="504"/>
      <c r="D767" s="195" t="s">
        <v>1917</v>
      </c>
      <c r="E767" s="490"/>
      <c r="F767" s="126">
        <v>0.2</v>
      </c>
      <c r="G767" s="126">
        <v>0.2</v>
      </c>
      <c r="H767" s="490"/>
      <c r="I767" s="127" t="s">
        <v>1902</v>
      </c>
      <c r="J767" s="127">
        <v>10000</v>
      </c>
      <c r="K767" s="126">
        <v>0.25</v>
      </c>
      <c r="L767" s="128">
        <v>0.8</v>
      </c>
      <c r="M767" s="490"/>
      <c r="N767" s="491"/>
      <c r="O767" s="128"/>
    </row>
    <row r="768" spans="1:16" x14ac:dyDescent="0.25">
      <c r="A768" s="491"/>
      <c r="B768" s="545"/>
      <c r="C768" s="504"/>
      <c r="D768" s="195" t="s">
        <v>1918</v>
      </c>
      <c r="E768" s="490"/>
      <c r="F768" s="126">
        <v>0.02</v>
      </c>
      <c r="G768" s="126">
        <v>0.02</v>
      </c>
      <c r="H768" s="490"/>
      <c r="I768" s="128" t="s">
        <v>1924</v>
      </c>
      <c r="J768" s="128">
        <v>1000</v>
      </c>
      <c r="K768" s="126">
        <v>0.01</v>
      </c>
      <c r="L768" s="128">
        <v>2</v>
      </c>
      <c r="M768" s="490"/>
      <c r="N768" s="491"/>
      <c r="O768" s="128"/>
    </row>
    <row r="769" spans="1:16" x14ac:dyDescent="0.25">
      <c r="A769" s="491"/>
      <c r="B769" s="545"/>
      <c r="C769" s="504"/>
      <c r="D769" s="195" t="s">
        <v>1919</v>
      </c>
      <c r="E769" s="490"/>
      <c r="F769" s="126">
        <v>0.1</v>
      </c>
      <c r="G769" s="126">
        <v>0.1</v>
      </c>
      <c r="H769" s="490"/>
      <c r="I769" s="127" t="s">
        <v>1902</v>
      </c>
      <c r="J769" s="127">
        <v>4000</v>
      </c>
      <c r="K769" s="126">
        <v>0.1012</v>
      </c>
      <c r="L769" s="128">
        <v>0.99</v>
      </c>
      <c r="M769" s="490"/>
      <c r="N769" s="491"/>
      <c r="O769" s="128"/>
    </row>
    <row r="770" spans="1:16" x14ac:dyDescent="0.25">
      <c r="A770" s="448"/>
      <c r="B770" s="546"/>
      <c r="C770" s="496"/>
      <c r="D770" s="195" t="s">
        <v>1920</v>
      </c>
      <c r="E770" s="433"/>
      <c r="F770" s="126">
        <v>1.03</v>
      </c>
      <c r="G770" s="126">
        <v>1.03</v>
      </c>
      <c r="H770" s="433"/>
      <c r="I770" s="128" t="s">
        <v>1924</v>
      </c>
      <c r="J770" s="128">
        <v>13000</v>
      </c>
      <c r="K770" s="126">
        <v>0.1545</v>
      </c>
      <c r="L770" s="128">
        <v>6.67</v>
      </c>
      <c r="M770" s="433"/>
      <c r="N770" s="448"/>
      <c r="O770" s="128"/>
    </row>
    <row r="771" spans="1:16" ht="22.15" customHeight="1" x14ac:dyDescent="0.25">
      <c r="A771" s="128"/>
      <c r="B771" s="502" t="s">
        <v>22</v>
      </c>
      <c r="C771" s="503"/>
      <c r="D771" s="195"/>
      <c r="E771" s="128"/>
      <c r="F771" s="245">
        <f>F761+F762+F763+F764+F765+F766+F767+F768+F769+F770</f>
        <v>5.6230000000000002</v>
      </c>
      <c r="G771" s="245">
        <f>G761+G762+G763+G764+G765+G766+G767+G768+G769+G770</f>
        <v>5.6230000000000002</v>
      </c>
      <c r="H771" s="245"/>
      <c r="I771" s="245"/>
      <c r="J771" s="245"/>
      <c r="K771" s="245">
        <f t="shared" ref="K771" si="4">K761+K762+K763+K764+K765+K766+K767+K768+K769+K770</f>
        <v>1.7591000000000001</v>
      </c>
      <c r="L771" s="128"/>
      <c r="M771" s="128"/>
      <c r="N771" s="128"/>
      <c r="O771" s="128"/>
      <c r="P771" s="231"/>
    </row>
    <row r="772" spans="1:16" ht="23.1" customHeight="1" x14ac:dyDescent="0.25">
      <c r="A772" s="447">
        <v>300</v>
      </c>
      <c r="B772" s="438" t="s">
        <v>1909</v>
      </c>
      <c r="C772" s="438" t="s">
        <v>1910</v>
      </c>
      <c r="D772" s="121" t="s">
        <v>1922</v>
      </c>
      <c r="E772" s="499" t="s">
        <v>1909</v>
      </c>
      <c r="F772" s="316">
        <v>0.68</v>
      </c>
      <c r="G772" s="316">
        <v>0.68</v>
      </c>
      <c r="H772" s="447" t="s">
        <v>1112</v>
      </c>
      <c r="I772" s="101" t="s">
        <v>1924</v>
      </c>
      <c r="J772" s="304">
        <v>5542</v>
      </c>
      <c r="K772" s="316">
        <v>0.1108</v>
      </c>
      <c r="L772" s="304">
        <v>6.13</v>
      </c>
      <c r="M772" s="447" t="s">
        <v>1921</v>
      </c>
      <c r="N772" s="492" t="s">
        <v>21</v>
      </c>
    </row>
    <row r="773" spans="1:16" x14ac:dyDescent="0.25">
      <c r="A773" s="491"/>
      <c r="B773" s="438"/>
      <c r="C773" s="438"/>
      <c r="D773" s="195" t="s">
        <v>1923</v>
      </c>
      <c r="E773" s="500"/>
      <c r="F773" s="126">
        <v>0.7</v>
      </c>
      <c r="G773" s="126">
        <v>0.7</v>
      </c>
      <c r="H773" s="491"/>
      <c r="I773" s="128" t="s">
        <v>1902</v>
      </c>
      <c r="J773" s="128">
        <v>8400</v>
      </c>
      <c r="K773" s="126">
        <v>0.21</v>
      </c>
      <c r="L773" s="128">
        <v>3.33</v>
      </c>
      <c r="M773" s="491"/>
      <c r="N773" s="493"/>
    </row>
    <row r="774" spans="1:16" x14ac:dyDescent="0.25">
      <c r="A774" s="448"/>
      <c r="B774" s="438"/>
      <c r="C774" s="438"/>
      <c r="D774" s="195" t="s">
        <v>1917</v>
      </c>
      <c r="E774" s="501"/>
      <c r="F774" s="126">
        <v>0.08</v>
      </c>
      <c r="G774" s="126">
        <v>0.08</v>
      </c>
      <c r="H774" s="448"/>
      <c r="I774" s="127" t="s">
        <v>1902</v>
      </c>
      <c r="J774" s="127">
        <v>4000</v>
      </c>
      <c r="K774" s="126">
        <v>9.6799999999999997E-2</v>
      </c>
      <c r="L774" s="128">
        <v>0.83</v>
      </c>
      <c r="M774" s="448"/>
      <c r="N774" s="494"/>
      <c r="O774" s="128"/>
    </row>
    <row r="775" spans="1:16" ht="22.15" customHeight="1" x14ac:dyDescent="0.25">
      <c r="A775" s="128"/>
      <c r="B775" s="502" t="s">
        <v>22</v>
      </c>
      <c r="C775" s="503"/>
      <c r="D775" s="195"/>
      <c r="E775" s="128"/>
      <c r="F775" s="245">
        <f>F772+F773+F774</f>
        <v>1.46</v>
      </c>
      <c r="G775" s="245">
        <f>G772+G773+G774</f>
        <v>1.46</v>
      </c>
      <c r="H775" s="245"/>
      <c r="I775" s="245"/>
      <c r="J775" s="245"/>
      <c r="K775" s="245">
        <f t="shared" ref="K775" si="5">K772+K773+K774</f>
        <v>0.41759999999999997</v>
      </c>
      <c r="L775" s="128"/>
      <c r="M775" s="128"/>
      <c r="N775" s="128"/>
      <c r="O775" s="128"/>
      <c r="P775" s="231"/>
    </row>
    <row r="776" spans="1:16" ht="39.4" customHeight="1" x14ac:dyDescent="0.25">
      <c r="A776" s="128">
        <v>301</v>
      </c>
      <c r="B776" s="121" t="s">
        <v>1928</v>
      </c>
      <c r="C776" s="121" t="s">
        <v>1926</v>
      </c>
      <c r="D776" s="121" t="s">
        <v>1926</v>
      </c>
      <c r="E776" s="82" t="s">
        <v>1928</v>
      </c>
      <c r="F776" s="316">
        <v>0.5</v>
      </c>
      <c r="G776" s="316">
        <v>1.5</v>
      </c>
      <c r="H776" s="101" t="s">
        <v>1112</v>
      </c>
      <c r="I776" s="101" t="s">
        <v>1902</v>
      </c>
      <c r="J776" s="304">
        <v>12000</v>
      </c>
      <c r="K776" s="316">
        <v>0.33600000000000002</v>
      </c>
      <c r="L776" s="304">
        <v>1</v>
      </c>
      <c r="M776" s="101" t="s">
        <v>1921</v>
      </c>
      <c r="N776" s="101" t="s">
        <v>21</v>
      </c>
      <c r="O776" s="101"/>
      <c r="P776" s="168"/>
    </row>
    <row r="777" spans="1:16" ht="22.15" customHeight="1" x14ac:dyDescent="0.25">
      <c r="A777" s="128"/>
      <c r="B777" s="502" t="s">
        <v>22</v>
      </c>
      <c r="C777" s="503"/>
      <c r="D777" s="195"/>
      <c r="E777" s="128"/>
      <c r="F777" s="245">
        <f>F776</f>
        <v>0.5</v>
      </c>
      <c r="G777" s="245">
        <f>G776</f>
        <v>1.5</v>
      </c>
      <c r="H777" s="128"/>
      <c r="I777" s="128"/>
      <c r="J777" s="128"/>
      <c r="K777" s="245">
        <f>K776</f>
        <v>0.33600000000000002</v>
      </c>
      <c r="L777" s="128"/>
      <c r="M777" s="128"/>
      <c r="N777" s="128"/>
      <c r="O777" s="128"/>
      <c r="P777" s="231"/>
    </row>
    <row r="778" spans="1:16" ht="39.4" customHeight="1" x14ac:dyDescent="0.25">
      <c r="A778" s="128">
        <v>302</v>
      </c>
      <c r="B778" s="289" t="s">
        <v>1927</v>
      </c>
      <c r="C778" s="13" t="s">
        <v>1929</v>
      </c>
      <c r="D778" s="13" t="s">
        <v>1929</v>
      </c>
      <c r="E778" s="101" t="s">
        <v>1927</v>
      </c>
      <c r="F778" s="316">
        <v>3.02</v>
      </c>
      <c r="G778" s="316">
        <v>4.0199999999999996</v>
      </c>
      <c r="H778" s="101" t="s">
        <v>1112</v>
      </c>
      <c r="I778" s="101" t="s">
        <v>1924</v>
      </c>
      <c r="J778" s="304">
        <v>340890</v>
      </c>
      <c r="K778" s="316">
        <v>11.316000000000001</v>
      </c>
      <c r="L778" s="304">
        <v>0.4</v>
      </c>
      <c r="M778" s="101" t="s">
        <v>1921</v>
      </c>
      <c r="N778" s="101" t="s">
        <v>21</v>
      </c>
      <c r="O778" s="101"/>
      <c r="P778" s="168"/>
    </row>
    <row r="779" spans="1:16" ht="22.15" customHeight="1" x14ac:dyDescent="0.25">
      <c r="A779" s="128"/>
      <c r="B779" s="502" t="s">
        <v>22</v>
      </c>
      <c r="C779" s="503"/>
      <c r="D779" s="195"/>
      <c r="E779" s="128"/>
      <c r="F779" s="245">
        <f>F778</f>
        <v>3.02</v>
      </c>
      <c r="G779" s="245">
        <f>G778</f>
        <v>4.0199999999999996</v>
      </c>
      <c r="H779" s="128"/>
      <c r="I779" s="128"/>
      <c r="J779" s="128"/>
      <c r="K779" s="245">
        <f>K778</f>
        <v>11.316000000000001</v>
      </c>
      <c r="L779" s="128"/>
      <c r="M779" s="128"/>
      <c r="N779" s="128"/>
      <c r="O779" s="128"/>
      <c r="P779" s="231"/>
    </row>
    <row r="780" spans="1:16" ht="39.4" customHeight="1" x14ac:dyDescent="0.25">
      <c r="A780" s="128">
        <v>303</v>
      </c>
      <c r="B780" s="289" t="s">
        <v>1927</v>
      </c>
      <c r="C780" s="13" t="s">
        <v>1930</v>
      </c>
      <c r="D780" s="13" t="s">
        <v>1930</v>
      </c>
      <c r="E780" s="101" t="s">
        <v>1927</v>
      </c>
      <c r="F780" s="316">
        <v>3.7360000000000002</v>
      </c>
      <c r="G780" s="316">
        <v>4.7359999999999998</v>
      </c>
      <c r="H780" s="101" t="s">
        <v>1112</v>
      </c>
      <c r="I780" s="101" t="s">
        <v>1902</v>
      </c>
      <c r="J780" s="304">
        <v>138104</v>
      </c>
      <c r="K780" s="316">
        <v>4.1680000000000001</v>
      </c>
      <c r="L780" s="304">
        <v>1.2</v>
      </c>
      <c r="M780" s="101" t="s">
        <v>1921</v>
      </c>
      <c r="N780" s="101" t="s">
        <v>21</v>
      </c>
      <c r="O780" s="101"/>
      <c r="P780" s="168"/>
    </row>
    <row r="781" spans="1:16" ht="22.15" customHeight="1" x14ac:dyDescent="0.25">
      <c r="A781" s="128"/>
      <c r="B781" s="502" t="s">
        <v>22</v>
      </c>
      <c r="C781" s="503"/>
      <c r="D781" s="195"/>
      <c r="E781" s="128"/>
      <c r="F781" s="245">
        <f>F780</f>
        <v>3.7360000000000002</v>
      </c>
      <c r="G781" s="245">
        <f>G780</f>
        <v>4.7359999999999998</v>
      </c>
      <c r="H781" s="128"/>
      <c r="I781" s="128"/>
      <c r="J781" s="128"/>
      <c r="K781" s="245">
        <f>K780</f>
        <v>4.1680000000000001</v>
      </c>
      <c r="L781" s="128"/>
      <c r="M781" s="128"/>
      <c r="N781" s="128"/>
      <c r="O781" s="128"/>
      <c r="P781" s="231"/>
    </row>
    <row r="782" spans="1:16" ht="39.4" customHeight="1" x14ac:dyDescent="0.25">
      <c r="A782" s="128">
        <v>304</v>
      </c>
      <c r="B782" s="121" t="s">
        <v>1927</v>
      </c>
      <c r="C782" s="121" t="s">
        <v>1931</v>
      </c>
      <c r="D782" s="121" t="s">
        <v>1931</v>
      </c>
      <c r="E782" s="101" t="s">
        <v>1927</v>
      </c>
      <c r="F782" s="200">
        <v>1.4430000000000001</v>
      </c>
      <c r="G782" s="200">
        <v>2.4430000000000001</v>
      </c>
      <c r="H782" s="101" t="s">
        <v>1112</v>
      </c>
      <c r="I782" s="254" t="s">
        <v>1902</v>
      </c>
      <c r="J782" s="199">
        <v>44740</v>
      </c>
      <c r="K782" s="200">
        <v>1.264</v>
      </c>
      <c r="L782" s="199">
        <v>1.9</v>
      </c>
      <c r="M782" s="205" t="s">
        <v>1921</v>
      </c>
      <c r="N782" s="123" t="s">
        <v>21</v>
      </c>
      <c r="O782" s="101"/>
      <c r="P782" s="168"/>
    </row>
    <row r="783" spans="1:16" ht="22.15" customHeight="1" x14ac:dyDescent="0.25">
      <c r="A783" s="128"/>
      <c r="B783" s="502" t="s">
        <v>22</v>
      </c>
      <c r="C783" s="503"/>
      <c r="D783" s="195"/>
      <c r="E783" s="128"/>
      <c r="F783" s="245">
        <f>F782</f>
        <v>1.4430000000000001</v>
      </c>
      <c r="G783" s="245">
        <f>G782</f>
        <v>2.4430000000000001</v>
      </c>
      <c r="H783" s="128"/>
      <c r="I783" s="128"/>
      <c r="J783" s="128"/>
      <c r="K783" s="245">
        <f>K782</f>
        <v>1.264</v>
      </c>
      <c r="L783" s="128"/>
      <c r="M783" s="128"/>
      <c r="N783" s="128"/>
      <c r="O783" s="128"/>
      <c r="P783" s="231"/>
    </row>
    <row r="784" spans="1:16" ht="112.5" x14ac:dyDescent="0.25">
      <c r="A784" s="324">
        <v>305</v>
      </c>
      <c r="B784" s="344" t="s">
        <v>2243</v>
      </c>
      <c r="C784" s="323" t="s">
        <v>2241</v>
      </c>
      <c r="D784" s="323" t="s">
        <v>2241</v>
      </c>
      <c r="E784" s="101" t="s">
        <v>2002</v>
      </c>
      <c r="F784" s="316">
        <v>155.607</v>
      </c>
      <c r="G784" s="316">
        <v>156.607</v>
      </c>
      <c r="H784" s="101" t="s">
        <v>427</v>
      </c>
      <c r="I784" s="101" t="s">
        <v>1776</v>
      </c>
      <c r="J784" s="304">
        <v>602315</v>
      </c>
      <c r="K784" s="316">
        <v>16.913</v>
      </c>
      <c r="L784" s="304">
        <v>5</v>
      </c>
      <c r="M784" s="342" t="s">
        <v>442</v>
      </c>
      <c r="N784" s="101" t="s">
        <v>21</v>
      </c>
      <c r="O784" s="101">
        <v>2022</v>
      </c>
      <c r="P784" s="231"/>
    </row>
    <row r="785" spans="1:16" ht="22.15" customHeight="1" x14ac:dyDescent="0.25">
      <c r="A785" s="128"/>
      <c r="B785" s="502" t="s">
        <v>22</v>
      </c>
      <c r="C785" s="503"/>
      <c r="D785" s="195"/>
      <c r="E785" s="128"/>
      <c r="F785" s="245">
        <f>F784</f>
        <v>155.607</v>
      </c>
      <c r="G785" s="245">
        <f>G784</f>
        <v>156.607</v>
      </c>
      <c r="H785" s="128"/>
      <c r="I785" s="128"/>
      <c r="J785" s="128"/>
      <c r="K785" s="245">
        <f>K784</f>
        <v>16.913</v>
      </c>
      <c r="L785" s="128"/>
      <c r="M785" s="128"/>
      <c r="N785" s="128"/>
      <c r="O785" s="128"/>
      <c r="P785" s="231"/>
    </row>
    <row r="786" spans="1:16" ht="56.25" x14ac:dyDescent="0.25">
      <c r="A786" s="324">
        <v>306</v>
      </c>
      <c r="B786" s="189" t="s">
        <v>1932</v>
      </c>
      <c r="C786" s="121" t="s">
        <v>1933</v>
      </c>
      <c r="D786" s="121" t="s">
        <v>1933</v>
      </c>
      <c r="E786" s="314" t="s">
        <v>1932</v>
      </c>
      <c r="F786" s="316">
        <v>356.66941300000002</v>
      </c>
      <c r="G786" s="316">
        <v>357.66941300000002</v>
      </c>
      <c r="H786" s="325" t="s">
        <v>1112</v>
      </c>
      <c r="I786" s="254" t="s">
        <v>1902</v>
      </c>
      <c r="J786" s="358">
        <v>682788.09600000002</v>
      </c>
      <c r="K786" s="316">
        <v>18.200399000000001</v>
      </c>
      <c r="L786" s="304">
        <v>19.600000000000001</v>
      </c>
      <c r="M786" s="205" t="s">
        <v>1934</v>
      </c>
      <c r="N786" s="123" t="s">
        <v>21</v>
      </c>
      <c r="O786" s="101"/>
      <c r="P786" s="168"/>
    </row>
    <row r="787" spans="1:16" ht="21.95" customHeight="1" x14ac:dyDescent="0.25">
      <c r="A787" s="128"/>
      <c r="B787" s="502" t="s">
        <v>22</v>
      </c>
      <c r="C787" s="503"/>
      <c r="D787" s="195"/>
      <c r="E787" s="128"/>
      <c r="F787" s="245">
        <f>F786</f>
        <v>356.66941300000002</v>
      </c>
      <c r="G787" s="245">
        <f>G786</f>
        <v>357.66941300000002</v>
      </c>
      <c r="H787" s="245"/>
      <c r="I787" s="245"/>
      <c r="J787" s="199"/>
      <c r="K787" s="245">
        <f t="shared" ref="K787" si="6">K786</f>
        <v>18.200399000000001</v>
      </c>
      <c r="L787" s="128"/>
      <c r="M787" s="128"/>
      <c r="N787" s="128"/>
      <c r="O787" s="128"/>
      <c r="P787" s="231"/>
    </row>
    <row r="788" spans="1:16" ht="21.95" customHeight="1" x14ac:dyDescent="0.25">
      <c r="A788" s="324">
        <v>307</v>
      </c>
      <c r="B788" s="121" t="s">
        <v>1946</v>
      </c>
      <c r="C788" s="121" t="s">
        <v>1947</v>
      </c>
      <c r="D788" s="121" t="s">
        <v>1947</v>
      </c>
      <c r="E788" s="82" t="s">
        <v>1946</v>
      </c>
      <c r="F788" s="316">
        <v>12.3195</v>
      </c>
      <c r="G788" s="316">
        <v>13.3195</v>
      </c>
      <c r="H788" s="101" t="s">
        <v>428</v>
      </c>
      <c r="I788" s="101" t="s">
        <v>37</v>
      </c>
      <c r="J788" s="304">
        <v>301.7</v>
      </c>
      <c r="K788" s="316">
        <v>1.7024999999999999</v>
      </c>
      <c r="L788" s="304">
        <v>14</v>
      </c>
      <c r="M788" s="33" t="s">
        <v>61</v>
      </c>
      <c r="N788" s="101" t="s">
        <v>21</v>
      </c>
      <c r="O788" s="101">
        <v>2023</v>
      </c>
      <c r="P788" s="231"/>
    </row>
    <row r="789" spans="1:16" ht="21.95" customHeight="1" x14ac:dyDescent="0.25">
      <c r="A789" s="324"/>
      <c r="B789" s="502" t="s">
        <v>22</v>
      </c>
      <c r="C789" s="503"/>
      <c r="D789" s="195"/>
      <c r="E789" s="128"/>
      <c r="F789" s="245">
        <f>F788</f>
        <v>12.3195</v>
      </c>
      <c r="G789" s="245">
        <f>G788</f>
        <v>13.3195</v>
      </c>
      <c r="H789" s="128"/>
      <c r="I789" s="128"/>
      <c r="J789" s="128"/>
      <c r="K789" s="245">
        <f>K788</f>
        <v>1.7024999999999999</v>
      </c>
      <c r="L789" s="128"/>
      <c r="M789" s="342"/>
      <c r="N789" s="128"/>
      <c r="O789" s="128"/>
      <c r="P789" s="231"/>
    </row>
    <row r="790" spans="1:16" ht="56.25" x14ac:dyDescent="0.25">
      <c r="A790" s="324">
        <v>308</v>
      </c>
      <c r="B790" s="189" t="s">
        <v>1932</v>
      </c>
      <c r="C790" s="121" t="s">
        <v>1935</v>
      </c>
      <c r="D790" s="121" t="s">
        <v>1935</v>
      </c>
      <c r="E790" s="314" t="s">
        <v>1932</v>
      </c>
      <c r="F790" s="316">
        <v>428.879887</v>
      </c>
      <c r="G790" s="316">
        <v>429.879887</v>
      </c>
      <c r="H790" s="316" t="s">
        <v>1112</v>
      </c>
      <c r="I790" s="254" t="s">
        <v>1902</v>
      </c>
      <c r="J790" s="358">
        <v>682788.09600000002</v>
      </c>
      <c r="K790" s="316">
        <v>14.33855</v>
      </c>
      <c r="L790" s="304">
        <v>29</v>
      </c>
      <c r="M790" s="205" t="s">
        <v>1934</v>
      </c>
      <c r="N790" s="123" t="s">
        <v>21</v>
      </c>
      <c r="O790" s="101"/>
      <c r="P790" s="168"/>
    </row>
    <row r="791" spans="1:16" ht="21.95" customHeight="1" x14ac:dyDescent="0.25">
      <c r="A791" s="128"/>
      <c r="B791" s="502" t="s">
        <v>22</v>
      </c>
      <c r="C791" s="503"/>
      <c r="D791" s="195"/>
      <c r="E791" s="128"/>
      <c r="F791" s="245">
        <f>F790</f>
        <v>428.879887</v>
      </c>
      <c r="G791" s="245">
        <f>G790</f>
        <v>429.879887</v>
      </c>
      <c r="H791" s="245"/>
      <c r="I791" s="245"/>
      <c r="J791" s="245"/>
      <c r="K791" s="245">
        <f t="shared" ref="K791" si="7">K790</f>
        <v>14.33855</v>
      </c>
      <c r="L791" s="128"/>
      <c r="M791" s="128"/>
      <c r="N791" s="128"/>
      <c r="O791" s="128"/>
      <c r="P791" s="231"/>
    </row>
    <row r="792" spans="1:16" ht="56.25" x14ac:dyDescent="0.25">
      <c r="A792" s="128">
        <v>309</v>
      </c>
      <c r="B792" s="121" t="s">
        <v>1948</v>
      </c>
      <c r="C792" s="121" t="s">
        <v>1949</v>
      </c>
      <c r="D792" s="121" t="s">
        <v>1949</v>
      </c>
      <c r="E792" s="82" t="s">
        <v>1948</v>
      </c>
      <c r="F792" s="316">
        <v>1933.393</v>
      </c>
      <c r="G792" s="316">
        <v>1934.393</v>
      </c>
      <c r="H792" s="101" t="s">
        <v>427</v>
      </c>
      <c r="I792" s="254" t="s">
        <v>1902</v>
      </c>
      <c r="J792" s="304">
        <v>1377010</v>
      </c>
      <c r="K792" s="316">
        <v>63.112499999999997</v>
      </c>
      <c r="L792" s="304">
        <v>5</v>
      </c>
      <c r="M792" s="101" t="s">
        <v>1064</v>
      </c>
      <c r="N792" s="101" t="s">
        <v>312</v>
      </c>
      <c r="O792" s="101"/>
      <c r="P792" s="231"/>
    </row>
    <row r="793" spans="1:16" ht="21.95" customHeight="1" x14ac:dyDescent="0.25">
      <c r="A793" s="128"/>
      <c r="B793" s="502" t="s">
        <v>22</v>
      </c>
      <c r="C793" s="503"/>
      <c r="D793" s="195"/>
      <c r="E793" s="128"/>
      <c r="F793" s="245">
        <f>F792</f>
        <v>1933.393</v>
      </c>
      <c r="G793" s="245">
        <f>G792</f>
        <v>1934.393</v>
      </c>
      <c r="H793" s="128"/>
      <c r="I793" s="128"/>
      <c r="J793" s="128"/>
      <c r="K793" s="245">
        <f>K792</f>
        <v>63.112499999999997</v>
      </c>
      <c r="L793" s="128"/>
      <c r="M793" s="128"/>
      <c r="N793" s="128"/>
      <c r="O793" s="128"/>
      <c r="P793" s="231"/>
    </row>
    <row r="794" spans="1:16" ht="22.35" customHeight="1" x14ac:dyDescent="0.25">
      <c r="A794" s="128">
        <v>310</v>
      </c>
      <c r="B794" s="121" t="s">
        <v>1824</v>
      </c>
      <c r="C794" s="121" t="s">
        <v>1940</v>
      </c>
      <c r="D794" s="121" t="s">
        <v>1940</v>
      </c>
      <c r="E794" s="82" t="s">
        <v>1824</v>
      </c>
      <c r="F794" s="316">
        <v>2.2999999999999998</v>
      </c>
      <c r="G794" s="316">
        <v>3.3</v>
      </c>
      <c r="H794" s="101" t="s">
        <v>1112</v>
      </c>
      <c r="I794" s="254" t="s">
        <v>1902</v>
      </c>
      <c r="J794" s="304">
        <v>38700</v>
      </c>
      <c r="K794" s="316">
        <v>1.1865000000000001</v>
      </c>
      <c r="L794" s="304">
        <v>2.8</v>
      </c>
      <c r="M794" s="205" t="s">
        <v>517</v>
      </c>
      <c r="N794" s="123" t="s">
        <v>21</v>
      </c>
      <c r="O794" s="101"/>
      <c r="P794" s="168"/>
    </row>
    <row r="795" spans="1:16" ht="22.15" customHeight="1" x14ac:dyDescent="0.25">
      <c r="A795" s="128"/>
      <c r="B795" s="502" t="s">
        <v>22</v>
      </c>
      <c r="C795" s="503"/>
      <c r="D795" s="195"/>
      <c r="E795" s="128"/>
      <c r="F795" s="245">
        <f>F794</f>
        <v>2.2999999999999998</v>
      </c>
      <c r="G795" s="245">
        <f>G794</f>
        <v>3.3</v>
      </c>
      <c r="H795" s="128"/>
      <c r="I795" s="128"/>
      <c r="J795" s="128"/>
      <c r="K795" s="245">
        <f>K794</f>
        <v>1.1865000000000001</v>
      </c>
      <c r="L795" s="128"/>
      <c r="M795" s="128"/>
      <c r="N795" s="128"/>
      <c r="O795" s="128"/>
      <c r="P795" s="231"/>
    </row>
    <row r="796" spans="1:16" ht="22.15" customHeight="1" x14ac:dyDescent="0.25">
      <c r="A796" s="128">
        <v>311</v>
      </c>
      <c r="B796" s="121" t="s">
        <v>1943</v>
      </c>
      <c r="C796" s="121" t="s">
        <v>1941</v>
      </c>
      <c r="D796" s="121" t="s">
        <v>1941</v>
      </c>
      <c r="E796" s="82" t="s">
        <v>1943</v>
      </c>
      <c r="F796" s="316">
        <v>0.20200000000000001</v>
      </c>
      <c r="G796" s="316">
        <v>1.202</v>
      </c>
      <c r="H796" s="101" t="s">
        <v>1112</v>
      </c>
      <c r="I796" s="254" t="s">
        <v>1902</v>
      </c>
      <c r="J796" s="304">
        <v>6759</v>
      </c>
      <c r="K796" s="316">
        <v>0.44700000000000001</v>
      </c>
      <c r="L796" s="304">
        <v>2.7</v>
      </c>
      <c r="M796" s="205" t="s">
        <v>1944</v>
      </c>
      <c r="N796" s="123" t="s">
        <v>21</v>
      </c>
      <c r="O796" s="101"/>
      <c r="P796" s="231"/>
    </row>
    <row r="797" spans="1:16" ht="22.15" customHeight="1" x14ac:dyDescent="0.25">
      <c r="A797" s="128"/>
      <c r="B797" s="502" t="s">
        <v>22</v>
      </c>
      <c r="C797" s="503"/>
      <c r="D797" s="195"/>
      <c r="E797" s="128"/>
      <c r="F797" s="245">
        <f>F796</f>
        <v>0.20200000000000001</v>
      </c>
      <c r="G797" s="245">
        <f>G796</f>
        <v>1.202</v>
      </c>
      <c r="H797" s="128"/>
      <c r="I797" s="128"/>
      <c r="J797" s="128"/>
      <c r="K797" s="245">
        <f>K796</f>
        <v>0.44700000000000001</v>
      </c>
      <c r="L797" s="128"/>
      <c r="M797" s="128"/>
      <c r="N797" s="128"/>
      <c r="O797" s="128"/>
      <c r="P797" s="231"/>
    </row>
    <row r="798" spans="1:16" ht="39.4" customHeight="1" x14ac:dyDescent="0.25">
      <c r="A798" s="128">
        <v>312</v>
      </c>
      <c r="B798" s="121" t="s">
        <v>1938</v>
      </c>
      <c r="C798" s="121" t="s">
        <v>1939</v>
      </c>
      <c r="D798" s="121" t="s">
        <v>1939</v>
      </c>
      <c r="E798" s="82" t="s">
        <v>1938</v>
      </c>
      <c r="F798" s="316">
        <v>79.836780000000005</v>
      </c>
      <c r="G798" s="316">
        <v>80.836780000000005</v>
      </c>
      <c r="H798" s="101" t="s">
        <v>1112</v>
      </c>
      <c r="I798" s="101" t="s">
        <v>37</v>
      </c>
      <c r="J798" s="304">
        <v>6083</v>
      </c>
      <c r="K798" s="316">
        <v>29.39</v>
      </c>
      <c r="L798" s="304">
        <v>2.8</v>
      </c>
      <c r="M798" s="205" t="s">
        <v>1934</v>
      </c>
      <c r="N798" s="123" t="s">
        <v>21</v>
      </c>
      <c r="O798" s="101"/>
      <c r="P798" s="168"/>
    </row>
    <row r="799" spans="1:16" ht="22.15" customHeight="1" x14ac:dyDescent="0.25">
      <c r="A799" s="128"/>
      <c r="B799" s="345" t="s">
        <v>22</v>
      </c>
      <c r="C799" s="343"/>
      <c r="D799" s="195"/>
      <c r="E799" s="128"/>
      <c r="F799" s="245">
        <f>F798</f>
        <v>79.836780000000005</v>
      </c>
      <c r="G799" s="245">
        <f>G798</f>
        <v>80.836780000000005</v>
      </c>
      <c r="H799" s="128"/>
      <c r="I799" s="128"/>
      <c r="J799" s="128"/>
      <c r="K799" s="245">
        <f>K798</f>
        <v>29.39</v>
      </c>
      <c r="L799" s="128"/>
      <c r="M799" s="128"/>
      <c r="N799" s="128"/>
      <c r="O799" s="128"/>
      <c r="P799" s="231"/>
    </row>
    <row r="800" spans="1:16" ht="39.4" customHeight="1" x14ac:dyDescent="0.25">
      <c r="A800" s="128">
        <v>313</v>
      </c>
      <c r="B800" s="189" t="s">
        <v>1936</v>
      </c>
      <c r="C800" s="121" t="s">
        <v>1937</v>
      </c>
      <c r="D800" s="121" t="s">
        <v>1937</v>
      </c>
      <c r="E800" s="314" t="s">
        <v>1936</v>
      </c>
      <c r="F800" s="316">
        <v>-0.5</v>
      </c>
      <c r="G800" s="316">
        <v>0.5</v>
      </c>
      <c r="H800" s="316" t="s">
        <v>1112</v>
      </c>
      <c r="I800" s="254" t="s">
        <v>1902</v>
      </c>
      <c r="J800" s="304">
        <v>4000</v>
      </c>
      <c r="K800" s="316">
        <v>0.2</v>
      </c>
      <c r="L800" s="304">
        <v>2.5</v>
      </c>
      <c r="M800" s="205" t="s">
        <v>1149</v>
      </c>
      <c r="N800" s="123" t="s">
        <v>21</v>
      </c>
      <c r="O800" s="101"/>
      <c r="P800" s="168"/>
    </row>
    <row r="801" spans="1:16" ht="22.15" customHeight="1" x14ac:dyDescent="0.25">
      <c r="A801" s="128"/>
      <c r="B801" s="502" t="s">
        <v>22</v>
      </c>
      <c r="C801" s="503"/>
      <c r="D801" s="195"/>
      <c r="E801" s="128"/>
      <c r="F801" s="245">
        <f>F800</f>
        <v>-0.5</v>
      </c>
      <c r="G801" s="245">
        <f>G800</f>
        <v>0.5</v>
      </c>
      <c r="H801" s="245"/>
      <c r="I801" s="245"/>
      <c r="J801" s="245"/>
      <c r="K801" s="245">
        <f t="shared" ref="K801" si="8">K800</f>
        <v>0.2</v>
      </c>
      <c r="L801" s="128"/>
      <c r="M801" s="128"/>
      <c r="N801" s="128"/>
      <c r="O801" s="128"/>
      <c r="P801" s="231"/>
    </row>
    <row r="802" spans="1:16" ht="39.4" customHeight="1" x14ac:dyDescent="0.25">
      <c r="A802" s="128">
        <v>314</v>
      </c>
      <c r="B802" s="121" t="s">
        <v>1757</v>
      </c>
      <c r="C802" s="121" t="s">
        <v>1945</v>
      </c>
      <c r="D802" s="121" t="s">
        <v>1945</v>
      </c>
      <c r="E802" s="82" t="s">
        <v>1757</v>
      </c>
      <c r="F802" s="316">
        <v>4.62</v>
      </c>
      <c r="G802" s="316">
        <v>5.62</v>
      </c>
      <c r="H802" s="101" t="s">
        <v>1112</v>
      </c>
      <c r="I802" s="254" t="s">
        <v>1902</v>
      </c>
      <c r="J802" s="304">
        <v>8213</v>
      </c>
      <c r="K802" s="316">
        <v>0.42699999999999999</v>
      </c>
      <c r="L802" s="304">
        <v>13.6</v>
      </c>
      <c r="M802" s="123" t="s">
        <v>438</v>
      </c>
      <c r="N802" s="123" t="s">
        <v>21</v>
      </c>
      <c r="O802" s="101"/>
      <c r="P802" s="168"/>
    </row>
    <row r="803" spans="1:16" ht="22.15" customHeight="1" x14ac:dyDescent="0.25">
      <c r="A803" s="128"/>
      <c r="B803" s="502" t="s">
        <v>22</v>
      </c>
      <c r="C803" s="503"/>
      <c r="D803" s="195"/>
      <c r="E803" s="128"/>
      <c r="F803" s="245">
        <f>F802</f>
        <v>4.62</v>
      </c>
      <c r="G803" s="245">
        <f>G802</f>
        <v>5.62</v>
      </c>
      <c r="H803" s="128"/>
      <c r="I803" s="128"/>
      <c r="J803" s="128"/>
      <c r="K803" s="245">
        <f>K802</f>
        <v>0.42699999999999999</v>
      </c>
      <c r="L803" s="128"/>
      <c r="M803" s="128"/>
      <c r="N803" s="128"/>
      <c r="O803" s="128"/>
      <c r="P803" s="231"/>
    </row>
    <row r="804" spans="1:16" x14ac:dyDescent="0.25">
      <c r="A804" s="128">
        <v>315</v>
      </c>
      <c r="B804" s="121" t="s">
        <v>1183</v>
      </c>
      <c r="C804" s="121" t="s">
        <v>1941</v>
      </c>
      <c r="D804" s="121" t="s">
        <v>1941</v>
      </c>
      <c r="E804" s="82" t="s">
        <v>1183</v>
      </c>
      <c r="F804" s="316">
        <v>3.1680000000000001</v>
      </c>
      <c r="G804" s="316">
        <v>4.1680000000000001</v>
      </c>
      <c r="H804" s="101" t="s">
        <v>1112</v>
      </c>
      <c r="I804" s="254" t="s">
        <v>1902</v>
      </c>
      <c r="J804" s="304">
        <v>31583</v>
      </c>
      <c r="K804" s="316">
        <v>1.1100000000000001</v>
      </c>
      <c r="L804" s="304">
        <v>3.8</v>
      </c>
      <c r="M804" s="205" t="s">
        <v>1942</v>
      </c>
      <c r="N804" s="123" t="s">
        <v>21</v>
      </c>
      <c r="O804" s="101"/>
      <c r="P804" s="168"/>
    </row>
    <row r="805" spans="1:16" ht="22.15" customHeight="1" x14ac:dyDescent="0.25">
      <c r="A805" s="128"/>
      <c r="B805" s="502" t="s">
        <v>22</v>
      </c>
      <c r="C805" s="503"/>
      <c r="D805" s="195"/>
      <c r="E805" s="128"/>
      <c r="F805" s="245">
        <f>F804</f>
        <v>3.1680000000000001</v>
      </c>
      <c r="G805" s="245">
        <f>G804</f>
        <v>4.1680000000000001</v>
      </c>
      <c r="H805" s="128"/>
      <c r="I805" s="128"/>
      <c r="J805" s="128"/>
      <c r="K805" s="245">
        <f>K804</f>
        <v>1.1100000000000001</v>
      </c>
      <c r="L805" s="128"/>
      <c r="M805" s="128"/>
      <c r="N805" s="128"/>
      <c r="O805" s="128"/>
      <c r="P805" s="231"/>
    </row>
    <row r="806" spans="1:16" s="227" customFormat="1" ht="20.25" x14ac:dyDescent="0.25">
      <c r="A806" s="159"/>
      <c r="B806" s="220" t="s">
        <v>1847</v>
      </c>
      <c r="C806" s="509"/>
      <c r="D806" s="510"/>
      <c r="E806" s="159" t="s">
        <v>1848</v>
      </c>
      <c r="F806" s="306">
        <f>F697+F700+F702+F704+F706+F708+F710+F713+F716+F719+F724+F729+F731+F733+F735+F737+F739+F741+F743+F745+F747+F749+F760+F771+F775+F777+F779+F781+F783+F785+F787+F789+F791+F793+F795+F797+F799+F801+F803+F805</f>
        <v>5133.5667989999993</v>
      </c>
      <c r="G806" s="306">
        <f>G697+G700+G702+G704+G706+G708+G710+G713+G716+G719+G724+G729+G731+G733+G735+G737+G739+G741+G743+G745+G747+G749+G760+G771+G775+G777+G779+G781+G783+G785+G787+G789+G791+G793+G795+G797+G799+G801+G803+G805</f>
        <v>5166.5667989999993</v>
      </c>
      <c r="H806" s="306"/>
      <c r="I806" s="306"/>
      <c r="J806" s="306"/>
      <c r="K806" s="306">
        <f>K697+K700+K702+K704+K706+K708+K710+K713+K716+K719+K724+K729+K731+K733+K735+K737+K739+K741+K743+K745+K747+K749+K760+K771+K775+K777+K779+K781+K783+K787+K785+K789+K791+K793+K795+K797+K799+K801+K803+K805</f>
        <v>638.955511</v>
      </c>
      <c r="L806" s="159"/>
      <c r="M806" s="159"/>
      <c r="N806" s="159"/>
      <c r="O806" s="159"/>
      <c r="P806" s="224"/>
    </row>
    <row r="807" spans="1:16" s="227" customFormat="1" ht="20.25" x14ac:dyDescent="0.25">
      <c r="A807" s="159"/>
      <c r="B807" s="509" t="s">
        <v>1188</v>
      </c>
      <c r="C807" s="531"/>
      <c r="D807" s="510"/>
      <c r="E807" s="159" t="s">
        <v>1765</v>
      </c>
      <c r="F807" s="384"/>
      <c r="G807" s="306">
        <f>G49+G116+G211+G315+G386+G462+G534+G616+G694+G806</f>
        <v>143393.34498057998</v>
      </c>
      <c r="H807" s="384"/>
      <c r="I807" s="384"/>
      <c r="J807" s="384"/>
      <c r="K807" s="306">
        <f>K49+K116+K211+K315+K386+K462+K534+K616+K694+K806</f>
        <v>10339.028934549999</v>
      </c>
      <c r="L807" s="159"/>
      <c r="M807" s="369"/>
      <c r="N807" s="369"/>
      <c r="O807" s="159"/>
      <c r="P807" s="226"/>
    </row>
    <row r="808" spans="1:16" ht="20.25" x14ac:dyDescent="0.25">
      <c r="G808" s="399"/>
      <c r="H808" s="398"/>
      <c r="I808" s="398"/>
      <c r="J808" s="398"/>
      <c r="K808" s="399"/>
      <c r="L808" s="398"/>
    </row>
    <row r="809" spans="1:16" x14ac:dyDescent="0.25">
      <c r="H809" s="398"/>
      <c r="I809" s="398"/>
      <c r="J809" s="398"/>
    </row>
    <row r="810" spans="1:16" x14ac:dyDescent="0.25">
      <c r="B810" s="243" t="s">
        <v>1280</v>
      </c>
      <c r="H810" s="398"/>
      <c r="I810" s="398"/>
      <c r="J810" s="398"/>
    </row>
    <row r="811" spans="1:16" x14ac:dyDescent="0.25">
      <c r="H811" s="398"/>
      <c r="I811" s="398"/>
      <c r="J811" s="398"/>
    </row>
    <row r="813" spans="1:16" x14ac:dyDescent="0.25">
      <c r="H813" s="398"/>
      <c r="I813" s="398"/>
      <c r="J813" s="398"/>
    </row>
    <row r="816" spans="1:16" x14ac:dyDescent="0.25">
      <c r="H816" s="398"/>
      <c r="I816" s="398"/>
      <c r="J816" s="398"/>
    </row>
    <row r="818" spans="8:10" x14ac:dyDescent="0.25">
      <c r="H818" s="398"/>
      <c r="I818" s="398"/>
      <c r="J818" s="398"/>
    </row>
    <row r="820" spans="8:10" x14ac:dyDescent="0.25">
      <c r="H820" s="398"/>
      <c r="I820" s="398"/>
      <c r="J820" s="398"/>
    </row>
    <row r="822" spans="8:10" x14ac:dyDescent="0.25">
      <c r="H822" s="398"/>
      <c r="I822" s="398"/>
      <c r="J822" s="398"/>
    </row>
  </sheetData>
  <autoFilter ref="A5:N807" xr:uid="{00000000-0009-0000-0000-00000B000000}"/>
  <mergeCells count="948">
    <mergeCell ref="B706:C706"/>
    <mergeCell ref="M725:M728"/>
    <mergeCell ref="H717:H718"/>
    <mergeCell ref="A717:A718"/>
    <mergeCell ref="B717:B718"/>
    <mergeCell ref="C717:C718"/>
    <mergeCell ref="E717:E718"/>
    <mergeCell ref="M717:M718"/>
    <mergeCell ref="A720:A723"/>
    <mergeCell ref="B720:B723"/>
    <mergeCell ref="C720:C723"/>
    <mergeCell ref="H720:H723"/>
    <mergeCell ref="E720:E723"/>
    <mergeCell ref="M720:M723"/>
    <mergeCell ref="E725:E728"/>
    <mergeCell ref="H725:H728"/>
    <mergeCell ref="E750:E759"/>
    <mergeCell ref="B785:C785"/>
    <mergeCell ref="A695:A696"/>
    <mergeCell ref="B695:B696"/>
    <mergeCell ref="A772:A774"/>
    <mergeCell ref="B772:B774"/>
    <mergeCell ref="C772:C774"/>
    <mergeCell ref="B708:C708"/>
    <mergeCell ref="B710:C710"/>
    <mergeCell ref="B713:C713"/>
    <mergeCell ref="B716:C716"/>
    <mergeCell ref="A698:A699"/>
    <mergeCell ref="B698:B699"/>
    <mergeCell ref="A750:A759"/>
    <mergeCell ref="A761:A770"/>
    <mergeCell ref="A725:A728"/>
    <mergeCell ref="B725:B728"/>
    <mergeCell ref="C725:C728"/>
    <mergeCell ref="C761:C770"/>
    <mergeCell ref="B761:B770"/>
    <mergeCell ref="B739:C739"/>
    <mergeCell ref="B700:C700"/>
    <mergeCell ref="B702:C702"/>
    <mergeCell ref="B704:C704"/>
    <mergeCell ref="B781:C781"/>
    <mergeCell ref="B783:C783"/>
    <mergeCell ref="B787:C787"/>
    <mergeCell ref="B760:C760"/>
    <mergeCell ref="B771:C771"/>
    <mergeCell ref="B775:C775"/>
    <mergeCell ref="C750:C759"/>
    <mergeCell ref="B750:B759"/>
    <mergeCell ref="B777:C777"/>
    <mergeCell ref="B779:C779"/>
    <mergeCell ref="B691:C691"/>
    <mergeCell ref="C695:C696"/>
    <mergeCell ref="D695:D696"/>
    <mergeCell ref="C806:D806"/>
    <mergeCell ref="B719:C719"/>
    <mergeCell ref="B724:C724"/>
    <mergeCell ref="B729:C729"/>
    <mergeCell ref="B731:C731"/>
    <mergeCell ref="B733:C733"/>
    <mergeCell ref="B735:C735"/>
    <mergeCell ref="B737:C737"/>
    <mergeCell ref="B805:C805"/>
    <mergeCell ref="B741:C741"/>
    <mergeCell ref="B743:C743"/>
    <mergeCell ref="B745:C745"/>
    <mergeCell ref="B747:C747"/>
    <mergeCell ref="B749:C749"/>
    <mergeCell ref="B789:C789"/>
    <mergeCell ref="B793:C793"/>
    <mergeCell ref="B797:C797"/>
    <mergeCell ref="B803:C803"/>
    <mergeCell ref="B791:C791"/>
    <mergeCell ref="B795:C795"/>
    <mergeCell ref="B801:C801"/>
    <mergeCell ref="O547:O548"/>
    <mergeCell ref="O554:O557"/>
    <mergeCell ref="O559:O563"/>
    <mergeCell ref="O573:O574"/>
    <mergeCell ref="O576:O578"/>
    <mergeCell ref="O582:O588"/>
    <mergeCell ref="O660:O662"/>
    <mergeCell ref="O667:O671"/>
    <mergeCell ref="N657:N658"/>
    <mergeCell ref="N582:N588"/>
    <mergeCell ref="N664:N665"/>
    <mergeCell ref="N667:N671"/>
    <mergeCell ref="E562:E563"/>
    <mergeCell ref="H687:H688"/>
    <mergeCell ref="M687:M688"/>
    <mergeCell ref="E657:E658"/>
    <mergeCell ref="H657:H658"/>
    <mergeCell ref="E684:E685"/>
    <mergeCell ref="H684:H685"/>
    <mergeCell ref="E664:E665"/>
    <mergeCell ref="H664:H665"/>
    <mergeCell ref="M664:M665"/>
    <mergeCell ref="E667:E671"/>
    <mergeCell ref="H667:H671"/>
    <mergeCell ref="M667:M671"/>
    <mergeCell ref="E687:E688"/>
    <mergeCell ref="N687:N688"/>
    <mergeCell ref="O657:O658"/>
    <mergeCell ref="C694:D694"/>
    <mergeCell ref="B620:C620"/>
    <mergeCell ref="B622:C622"/>
    <mergeCell ref="B624:C624"/>
    <mergeCell ref="B626:C626"/>
    <mergeCell ref="B628:C628"/>
    <mergeCell ref="B630:C630"/>
    <mergeCell ref="B632:C632"/>
    <mergeCell ref="B634:C634"/>
    <mergeCell ref="B636:C636"/>
    <mergeCell ref="B638:C638"/>
    <mergeCell ref="B640:C640"/>
    <mergeCell ref="B642:C642"/>
    <mergeCell ref="B651:C651"/>
    <mergeCell ref="B654:C654"/>
    <mergeCell ref="B656:C656"/>
    <mergeCell ref="B659:C659"/>
    <mergeCell ref="B663:C663"/>
    <mergeCell ref="B666:C666"/>
    <mergeCell ref="B672:C672"/>
    <mergeCell ref="B693:C693"/>
    <mergeCell ref="B689:C689"/>
    <mergeCell ref="O443:O444"/>
    <mergeCell ref="O491:O493"/>
    <mergeCell ref="O495:O496"/>
    <mergeCell ref="O508:O509"/>
    <mergeCell ref="O511:O512"/>
    <mergeCell ref="O518:O519"/>
    <mergeCell ref="O523:O524"/>
    <mergeCell ref="O535:O537"/>
    <mergeCell ref="O543:O546"/>
    <mergeCell ref="B488:E488"/>
    <mergeCell ref="N518:N519"/>
    <mergeCell ref="N511:N512"/>
    <mergeCell ref="N508:N509"/>
    <mergeCell ref="N491:N493"/>
    <mergeCell ref="N495:N496"/>
    <mergeCell ref="N523:N524"/>
    <mergeCell ref="C511:C512"/>
    <mergeCell ref="E511:E512"/>
    <mergeCell ref="H511:H512"/>
    <mergeCell ref="M511:M512"/>
    <mergeCell ref="B520:E520"/>
    <mergeCell ref="B522:E522"/>
    <mergeCell ref="M523:M524"/>
    <mergeCell ref="E333:E334"/>
    <mergeCell ref="B347:C347"/>
    <mergeCell ref="B349:C349"/>
    <mergeCell ref="E308:E313"/>
    <mergeCell ref="C315:D315"/>
    <mergeCell ref="B686:C686"/>
    <mergeCell ref="B607:C607"/>
    <mergeCell ref="B609:C609"/>
    <mergeCell ref="B611:C611"/>
    <mergeCell ref="B507:E507"/>
    <mergeCell ref="B497:E497"/>
    <mergeCell ref="B490:E490"/>
    <mergeCell ref="B491:B493"/>
    <mergeCell ref="C491:C493"/>
    <mergeCell ref="E491:E493"/>
    <mergeCell ref="E495:E496"/>
    <mergeCell ref="B478:E478"/>
    <mergeCell ref="B480:E480"/>
    <mergeCell ref="B482:E482"/>
    <mergeCell ref="B499:E499"/>
    <mergeCell ref="B618:C618"/>
    <mergeCell ref="B503:E503"/>
    <mergeCell ref="B484:E484"/>
    <mergeCell ref="B486:E486"/>
    <mergeCell ref="B261:C261"/>
    <mergeCell ref="B263:C263"/>
    <mergeCell ref="B265:C265"/>
    <mergeCell ref="B267:C267"/>
    <mergeCell ref="B257:C257"/>
    <mergeCell ref="B259:C259"/>
    <mergeCell ref="B305:C305"/>
    <mergeCell ref="B307:C307"/>
    <mergeCell ref="B314:C314"/>
    <mergeCell ref="O207:O209"/>
    <mergeCell ref="O308:O313"/>
    <mergeCell ref="O330:O331"/>
    <mergeCell ref="O333:O334"/>
    <mergeCell ref="O366:O369"/>
    <mergeCell ref="O375:O376"/>
    <mergeCell ref="O419:O426"/>
    <mergeCell ref="O436:O438"/>
    <mergeCell ref="O440:O441"/>
    <mergeCell ref="O136:O139"/>
    <mergeCell ref="O141:O149"/>
    <mergeCell ref="O151:O153"/>
    <mergeCell ref="O161:O163"/>
    <mergeCell ref="O167:O168"/>
    <mergeCell ref="O170:O172"/>
    <mergeCell ref="O176:O179"/>
    <mergeCell ref="O189:O190"/>
    <mergeCell ref="O194:O195"/>
    <mergeCell ref="O91:O92"/>
    <mergeCell ref="O94:O95"/>
    <mergeCell ref="O101:O104"/>
    <mergeCell ref="O106:O110"/>
    <mergeCell ref="O112:O114"/>
    <mergeCell ref="O117:O119"/>
    <mergeCell ref="O121:O122"/>
    <mergeCell ref="O124:O127"/>
    <mergeCell ref="O131:O134"/>
    <mergeCell ref="O4:O5"/>
    <mergeCell ref="O8:O14"/>
    <mergeCell ref="O16:O18"/>
    <mergeCell ref="O20:O22"/>
    <mergeCell ref="O66:O69"/>
    <mergeCell ref="O71:O74"/>
    <mergeCell ref="O76:O77"/>
    <mergeCell ref="O79:O80"/>
    <mergeCell ref="O88:O89"/>
    <mergeCell ref="P436:P438"/>
    <mergeCell ref="P440:P441"/>
    <mergeCell ref="P443:P444"/>
    <mergeCell ref="P491:P493"/>
    <mergeCell ref="P495:P496"/>
    <mergeCell ref="P573:P574"/>
    <mergeCell ref="P576:P578"/>
    <mergeCell ref="P582:P588"/>
    <mergeCell ref="P508:P509"/>
    <mergeCell ref="P511:P512"/>
    <mergeCell ref="P518:P519"/>
    <mergeCell ref="P523:P524"/>
    <mergeCell ref="P535:P537"/>
    <mergeCell ref="P543:P545"/>
    <mergeCell ref="P547:P548"/>
    <mergeCell ref="P554:P557"/>
    <mergeCell ref="P559:P563"/>
    <mergeCell ref="P189:P190"/>
    <mergeCell ref="P194:P195"/>
    <mergeCell ref="P207:P209"/>
    <mergeCell ref="P308:P313"/>
    <mergeCell ref="P330:P331"/>
    <mergeCell ref="P333:P334"/>
    <mergeCell ref="P366:P369"/>
    <mergeCell ref="P375:P376"/>
    <mergeCell ref="P419:P426"/>
    <mergeCell ref="P124:P127"/>
    <mergeCell ref="P131:P134"/>
    <mergeCell ref="P136:P139"/>
    <mergeCell ref="P141:P149"/>
    <mergeCell ref="P151:P153"/>
    <mergeCell ref="P161:P163"/>
    <mergeCell ref="P167:P168"/>
    <mergeCell ref="P170:P172"/>
    <mergeCell ref="P176:P179"/>
    <mergeCell ref="P79:P80"/>
    <mergeCell ref="P88:P89"/>
    <mergeCell ref="P91:P92"/>
    <mergeCell ref="P94:P95"/>
    <mergeCell ref="P101:P104"/>
    <mergeCell ref="P106:P110"/>
    <mergeCell ref="P112:P114"/>
    <mergeCell ref="P117:P119"/>
    <mergeCell ref="P121:P122"/>
    <mergeCell ref="P4:P5"/>
    <mergeCell ref="P8:P14"/>
    <mergeCell ref="P16:P18"/>
    <mergeCell ref="P20:P22"/>
    <mergeCell ref="P28:P30"/>
    <mergeCell ref="P36:P37"/>
    <mergeCell ref="P66:P69"/>
    <mergeCell ref="P71:P74"/>
    <mergeCell ref="P76:P77"/>
    <mergeCell ref="B90:C90"/>
    <mergeCell ref="B96:C96"/>
    <mergeCell ref="B98:C98"/>
    <mergeCell ref="B100:C100"/>
    <mergeCell ref="B217:C217"/>
    <mergeCell ref="B255:C255"/>
    <mergeCell ref="B225:C225"/>
    <mergeCell ref="B227:C227"/>
    <mergeCell ref="B229:C229"/>
    <mergeCell ref="B231:C231"/>
    <mergeCell ref="B219:C219"/>
    <mergeCell ref="B233:C233"/>
    <mergeCell ref="B235:C235"/>
    <mergeCell ref="B237:C237"/>
    <mergeCell ref="B239:C239"/>
    <mergeCell ref="B241:C241"/>
    <mergeCell ref="B247:C247"/>
    <mergeCell ref="B249:C249"/>
    <mergeCell ref="B251:C251"/>
    <mergeCell ref="B253:C253"/>
    <mergeCell ref="B140:C140"/>
    <mergeCell ref="B221:C221"/>
    <mergeCell ref="B223:C223"/>
    <mergeCell ref="B173:C173"/>
    <mergeCell ref="B175:C175"/>
    <mergeCell ref="B188:C188"/>
    <mergeCell ref="B210:C210"/>
    <mergeCell ref="B213:C213"/>
    <mergeCell ref="B215:C215"/>
    <mergeCell ref="C211:D211"/>
    <mergeCell ref="B299:C299"/>
    <mergeCell ref="B301:C301"/>
    <mergeCell ref="B303:C303"/>
    <mergeCell ref="B269:C269"/>
    <mergeCell ref="B271:C271"/>
    <mergeCell ref="B273:C273"/>
    <mergeCell ref="B275:C275"/>
    <mergeCell ref="B277:C277"/>
    <mergeCell ref="B279:C279"/>
    <mergeCell ref="B281:C281"/>
    <mergeCell ref="B283:C283"/>
    <mergeCell ref="B297:C297"/>
    <mergeCell ref="B285:C285"/>
    <mergeCell ref="B287:C287"/>
    <mergeCell ref="B289:C289"/>
    <mergeCell ref="B291:C291"/>
    <mergeCell ref="B293:C293"/>
    <mergeCell ref="B295:C295"/>
    <mergeCell ref="N36:N37"/>
    <mergeCell ref="N308:N313"/>
    <mergeCell ref="B377:C377"/>
    <mergeCell ref="B379:C379"/>
    <mergeCell ref="B321:C321"/>
    <mergeCell ref="B323:C323"/>
    <mergeCell ref="B325:C325"/>
    <mergeCell ref="B327:C327"/>
    <mergeCell ref="B329:C329"/>
    <mergeCell ref="B359:C359"/>
    <mergeCell ref="B361:C361"/>
    <mergeCell ref="B363:C363"/>
    <mergeCell ref="B351:C351"/>
    <mergeCell ref="B353:C353"/>
    <mergeCell ref="B355:C355"/>
    <mergeCell ref="B357:C357"/>
    <mergeCell ref="E189:E190"/>
    <mergeCell ref="C333:C334"/>
    <mergeCell ref="B372:C372"/>
    <mergeCell ref="B374:C374"/>
    <mergeCell ref="B243:C243"/>
    <mergeCell ref="B245:C245"/>
    <mergeCell ref="H36:H37"/>
    <mergeCell ref="N176:N179"/>
    <mergeCell ref="A308:A313"/>
    <mergeCell ref="B388:C388"/>
    <mergeCell ref="B390:C390"/>
    <mergeCell ref="B392:C392"/>
    <mergeCell ref="B394:C394"/>
    <mergeCell ref="B396:C396"/>
    <mergeCell ref="B398:C398"/>
    <mergeCell ref="B412:C412"/>
    <mergeCell ref="C386:D386"/>
    <mergeCell ref="B335:C335"/>
    <mergeCell ref="B337:C337"/>
    <mergeCell ref="B339:C339"/>
    <mergeCell ref="B341:C341"/>
    <mergeCell ref="B343:C343"/>
    <mergeCell ref="B365:C365"/>
    <mergeCell ref="B370:C370"/>
    <mergeCell ref="C308:C313"/>
    <mergeCell ref="B308:B313"/>
    <mergeCell ref="M176:M179"/>
    <mergeCell ref="B206:C206"/>
    <mergeCell ref="N194:N195"/>
    <mergeCell ref="B176:B179"/>
    <mergeCell ref="E176:E179"/>
    <mergeCell ref="H176:H179"/>
    <mergeCell ref="A189:A190"/>
    <mergeCell ref="C189:C190"/>
    <mergeCell ref="B180:C180"/>
    <mergeCell ref="B204:C204"/>
    <mergeCell ref="C176:C179"/>
    <mergeCell ref="A176:A179"/>
    <mergeCell ref="B189:B190"/>
    <mergeCell ref="B191:C191"/>
    <mergeCell ref="B193:C193"/>
    <mergeCell ref="H189:H190"/>
    <mergeCell ref="M189:M190"/>
    <mergeCell ref="A443:A444"/>
    <mergeCell ref="B443:B444"/>
    <mergeCell ref="C443:C444"/>
    <mergeCell ref="B317:C317"/>
    <mergeCell ref="B319:C319"/>
    <mergeCell ref="D443:D444"/>
    <mergeCell ref="B429:E429"/>
    <mergeCell ref="B431:E431"/>
    <mergeCell ref="B433:E433"/>
    <mergeCell ref="E443:E444"/>
    <mergeCell ref="E440:E441"/>
    <mergeCell ref="D440:D441"/>
    <mergeCell ref="C440:C441"/>
    <mergeCell ref="B435:E435"/>
    <mergeCell ref="C436:C438"/>
    <mergeCell ref="B436:B438"/>
    <mergeCell ref="B427:E427"/>
    <mergeCell ref="A436:A438"/>
    <mergeCell ref="A440:A441"/>
    <mergeCell ref="B439:E439"/>
    <mergeCell ref="B345:C345"/>
    <mergeCell ref="A419:A426"/>
    <mergeCell ref="A333:A334"/>
    <mergeCell ref="A330:A331"/>
    <mergeCell ref="M170:M172"/>
    <mergeCell ref="N170:N172"/>
    <mergeCell ref="N189:N190"/>
    <mergeCell ref="B182:C182"/>
    <mergeCell ref="B184:C184"/>
    <mergeCell ref="B186:C186"/>
    <mergeCell ref="B807:D807"/>
    <mergeCell ref="B400:C400"/>
    <mergeCell ref="B402:C402"/>
    <mergeCell ref="C462:D462"/>
    <mergeCell ref="B404:C404"/>
    <mergeCell ref="B406:C406"/>
    <mergeCell ref="B408:C408"/>
    <mergeCell ref="B410:C410"/>
    <mergeCell ref="B464:E464"/>
    <mergeCell ref="B466:E466"/>
    <mergeCell ref="C534:D534"/>
    <mergeCell ref="B468:E468"/>
    <mergeCell ref="B457:E457"/>
    <mergeCell ref="B459:E459"/>
    <mergeCell ref="B461:E461"/>
    <mergeCell ref="B449:E449"/>
    <mergeCell ref="E436:E438"/>
    <mergeCell ref="B476:E476"/>
    <mergeCell ref="A207:A209"/>
    <mergeCell ref="C207:C209"/>
    <mergeCell ref="B207:B209"/>
    <mergeCell ref="E207:E209"/>
    <mergeCell ref="H207:H209"/>
    <mergeCell ref="M207:M209"/>
    <mergeCell ref="N207:N209"/>
    <mergeCell ref="A194:A195"/>
    <mergeCell ref="C194:C195"/>
    <mergeCell ref="B194:B195"/>
    <mergeCell ref="E194:E195"/>
    <mergeCell ref="H194:H195"/>
    <mergeCell ref="B196:C196"/>
    <mergeCell ref="B198:C198"/>
    <mergeCell ref="B200:C200"/>
    <mergeCell ref="B202:C202"/>
    <mergeCell ref="M194:M195"/>
    <mergeCell ref="L162:L163"/>
    <mergeCell ref="C167:C168"/>
    <mergeCell ref="B167:B168"/>
    <mergeCell ref="M151:M153"/>
    <mergeCell ref="N151:N153"/>
    <mergeCell ref="N136:N139"/>
    <mergeCell ref="B135:C135"/>
    <mergeCell ref="B150:C150"/>
    <mergeCell ref="M161:M163"/>
    <mergeCell ref="N161:N163"/>
    <mergeCell ref="B160:C160"/>
    <mergeCell ref="E167:E168"/>
    <mergeCell ref="H167:H168"/>
    <mergeCell ref="M167:M168"/>
    <mergeCell ref="N167:N168"/>
    <mergeCell ref="B164:C164"/>
    <mergeCell ref="F162:F163"/>
    <mergeCell ref="B166:C166"/>
    <mergeCell ref="M141:M149"/>
    <mergeCell ref="N141:N149"/>
    <mergeCell ref="H151:H153"/>
    <mergeCell ref="B154:C154"/>
    <mergeCell ref="B156:C156"/>
    <mergeCell ref="B158:C158"/>
    <mergeCell ref="M117:M119"/>
    <mergeCell ref="M124:M127"/>
    <mergeCell ref="A117:A119"/>
    <mergeCell ref="C117:C119"/>
    <mergeCell ref="B117:B119"/>
    <mergeCell ref="E117:E119"/>
    <mergeCell ref="H117:H119"/>
    <mergeCell ref="H121:H122"/>
    <mergeCell ref="M121:M122"/>
    <mergeCell ref="A170:A172"/>
    <mergeCell ref="C170:C172"/>
    <mergeCell ref="B170:B172"/>
    <mergeCell ref="E170:E172"/>
    <mergeCell ref="H170:H172"/>
    <mergeCell ref="B169:C169"/>
    <mergeCell ref="A167:A168"/>
    <mergeCell ref="A141:A149"/>
    <mergeCell ref="C141:C149"/>
    <mergeCell ref="B141:B149"/>
    <mergeCell ref="E141:E149"/>
    <mergeCell ref="H141:H149"/>
    <mergeCell ref="A151:A153"/>
    <mergeCell ref="C151:C153"/>
    <mergeCell ref="B151:B153"/>
    <mergeCell ref="E151:E153"/>
    <mergeCell ref="A161:A163"/>
    <mergeCell ref="C161:C163"/>
    <mergeCell ref="B161:B163"/>
    <mergeCell ref="E161:E163"/>
    <mergeCell ref="H161:H163"/>
    <mergeCell ref="D162:D163"/>
    <mergeCell ref="G162:G163"/>
    <mergeCell ref="N121:N122"/>
    <mergeCell ref="B120:C120"/>
    <mergeCell ref="A136:A139"/>
    <mergeCell ref="C136:C139"/>
    <mergeCell ref="I136:I139"/>
    <mergeCell ref="B136:B139"/>
    <mergeCell ref="E136:E139"/>
    <mergeCell ref="H136:H139"/>
    <mergeCell ref="M136:M139"/>
    <mergeCell ref="M131:M134"/>
    <mergeCell ref="N131:N134"/>
    <mergeCell ref="A131:A134"/>
    <mergeCell ref="C131:C134"/>
    <mergeCell ref="B131:B134"/>
    <mergeCell ref="E131:E134"/>
    <mergeCell ref="H131:H134"/>
    <mergeCell ref="A124:A127"/>
    <mergeCell ref="C124:C127"/>
    <mergeCell ref="B124:B127"/>
    <mergeCell ref="E124:E127"/>
    <mergeCell ref="H124:H127"/>
    <mergeCell ref="A101:A104"/>
    <mergeCell ref="C101:C104"/>
    <mergeCell ref="B101:B104"/>
    <mergeCell ref="E101:E104"/>
    <mergeCell ref="H101:H104"/>
    <mergeCell ref="B115:C115"/>
    <mergeCell ref="B123:C123"/>
    <mergeCell ref="B128:C128"/>
    <mergeCell ref="B130:C130"/>
    <mergeCell ref="C116:D116"/>
    <mergeCell ref="E112:E114"/>
    <mergeCell ref="A112:A114"/>
    <mergeCell ref="C112:C114"/>
    <mergeCell ref="H112:H114"/>
    <mergeCell ref="B105:C105"/>
    <mergeCell ref="B111:C111"/>
    <mergeCell ref="B112:B114"/>
    <mergeCell ref="A106:A110"/>
    <mergeCell ref="C106:C110"/>
    <mergeCell ref="B106:B110"/>
    <mergeCell ref="A121:A122"/>
    <mergeCell ref="C121:C122"/>
    <mergeCell ref="B121:B122"/>
    <mergeCell ref="E121:E122"/>
    <mergeCell ref="A94:A95"/>
    <mergeCell ref="C94:C95"/>
    <mergeCell ref="B94:B95"/>
    <mergeCell ref="E94:E95"/>
    <mergeCell ref="H94:H95"/>
    <mergeCell ref="M94:M95"/>
    <mergeCell ref="N94:N95"/>
    <mergeCell ref="A91:A92"/>
    <mergeCell ref="C91:C92"/>
    <mergeCell ref="B91:B92"/>
    <mergeCell ref="E91:E92"/>
    <mergeCell ref="H91:H92"/>
    <mergeCell ref="B93:C93"/>
    <mergeCell ref="A88:A89"/>
    <mergeCell ref="C88:C89"/>
    <mergeCell ref="B88:B89"/>
    <mergeCell ref="E88:E89"/>
    <mergeCell ref="H88:H89"/>
    <mergeCell ref="M88:M89"/>
    <mergeCell ref="N88:N89"/>
    <mergeCell ref="A79:A80"/>
    <mergeCell ref="C79:C80"/>
    <mergeCell ref="B79:B80"/>
    <mergeCell ref="E79:E80"/>
    <mergeCell ref="H79:H80"/>
    <mergeCell ref="B81:C81"/>
    <mergeCell ref="B83:C83"/>
    <mergeCell ref="B85:C85"/>
    <mergeCell ref="B87:C87"/>
    <mergeCell ref="A71:A74"/>
    <mergeCell ref="C71:C74"/>
    <mergeCell ref="B71:B74"/>
    <mergeCell ref="E71:E74"/>
    <mergeCell ref="H71:H74"/>
    <mergeCell ref="M71:M74"/>
    <mergeCell ref="N71:N74"/>
    <mergeCell ref="B70:C70"/>
    <mergeCell ref="A76:A77"/>
    <mergeCell ref="C76:C77"/>
    <mergeCell ref="B76:B77"/>
    <mergeCell ref="E76:E77"/>
    <mergeCell ref="H76:H77"/>
    <mergeCell ref="M76:M77"/>
    <mergeCell ref="N76:N77"/>
    <mergeCell ref="B75:C75"/>
    <mergeCell ref="A36:A37"/>
    <mergeCell ref="C36:C37"/>
    <mergeCell ref="B36:B37"/>
    <mergeCell ref="M36:M37"/>
    <mergeCell ref="A66:A69"/>
    <mergeCell ref="C66:C69"/>
    <mergeCell ref="B66:B69"/>
    <mergeCell ref="E66:E69"/>
    <mergeCell ref="H66:H69"/>
    <mergeCell ref="M66:M69"/>
    <mergeCell ref="B40:C40"/>
    <mergeCell ref="B42:C42"/>
    <mergeCell ref="B44:C44"/>
    <mergeCell ref="B46:C46"/>
    <mergeCell ref="B48:C48"/>
    <mergeCell ref="B51:C51"/>
    <mergeCell ref="B53:C53"/>
    <mergeCell ref="B55:C55"/>
    <mergeCell ref="B57:C57"/>
    <mergeCell ref="B59:C59"/>
    <mergeCell ref="B61:C61"/>
    <mergeCell ref="B63:C63"/>
    <mergeCell ref="B65:C65"/>
    <mergeCell ref="E36:E37"/>
    <mergeCell ref="A28:A30"/>
    <mergeCell ref="C28:C30"/>
    <mergeCell ref="B28:B30"/>
    <mergeCell ref="E28:E30"/>
    <mergeCell ref="H28:H30"/>
    <mergeCell ref="M28:M30"/>
    <mergeCell ref="N28:N30"/>
    <mergeCell ref="A20:A22"/>
    <mergeCell ref="C20:C22"/>
    <mergeCell ref="B20:B22"/>
    <mergeCell ref="E20:E22"/>
    <mergeCell ref="H20:H22"/>
    <mergeCell ref="B25:C25"/>
    <mergeCell ref="B27:C27"/>
    <mergeCell ref="A16:A18"/>
    <mergeCell ref="C16:C18"/>
    <mergeCell ref="B16:B18"/>
    <mergeCell ref="E16:E18"/>
    <mergeCell ref="H16:H18"/>
    <mergeCell ref="M16:M18"/>
    <mergeCell ref="N16:N18"/>
    <mergeCell ref="M20:M22"/>
    <mergeCell ref="N20:N22"/>
    <mergeCell ref="N4:N5"/>
    <mergeCell ref="A8:A14"/>
    <mergeCell ref="C8:C14"/>
    <mergeCell ref="B8:B14"/>
    <mergeCell ref="E8:E14"/>
    <mergeCell ref="H8:H14"/>
    <mergeCell ref="M8:M14"/>
    <mergeCell ref="N8:N14"/>
    <mergeCell ref="B7:C7"/>
    <mergeCell ref="A4:A5"/>
    <mergeCell ref="C4:C5"/>
    <mergeCell ref="D4:D5"/>
    <mergeCell ref="G4:G5"/>
    <mergeCell ref="I4:J4"/>
    <mergeCell ref="K4:K5"/>
    <mergeCell ref="L4:L5"/>
    <mergeCell ref="B4:B5"/>
    <mergeCell ref="E4:E5"/>
    <mergeCell ref="F4:F5"/>
    <mergeCell ref="Q366:Q369"/>
    <mergeCell ref="Q5:Q6"/>
    <mergeCell ref="A375:A376"/>
    <mergeCell ref="C375:C376"/>
    <mergeCell ref="B375:B376"/>
    <mergeCell ref="E375:E376"/>
    <mergeCell ref="H375:H376"/>
    <mergeCell ref="M375:M376"/>
    <mergeCell ref="N375:N376"/>
    <mergeCell ref="Q375:Q376"/>
    <mergeCell ref="A366:A369"/>
    <mergeCell ref="C366:C369"/>
    <mergeCell ref="B366:B369"/>
    <mergeCell ref="E366:E369"/>
    <mergeCell ref="H366:H369"/>
    <mergeCell ref="M366:M369"/>
    <mergeCell ref="N366:N369"/>
    <mergeCell ref="G368:G369"/>
    <mergeCell ref="L368:L369"/>
    <mergeCell ref="H4:H5"/>
    <mergeCell ref="M4:M5"/>
    <mergeCell ref="B15:C15"/>
    <mergeCell ref="B19:C19"/>
    <mergeCell ref="B23:C23"/>
    <mergeCell ref="H419:H426"/>
    <mergeCell ref="M419:M426"/>
    <mergeCell ref="B419:B426"/>
    <mergeCell ref="H330:H331"/>
    <mergeCell ref="M330:M331"/>
    <mergeCell ref="C330:C331"/>
    <mergeCell ref="N330:N331"/>
    <mergeCell ref="H333:H334"/>
    <mergeCell ref="M333:M334"/>
    <mergeCell ref="B332:C332"/>
    <mergeCell ref="B333:B334"/>
    <mergeCell ref="B381:C381"/>
    <mergeCell ref="B383:C383"/>
    <mergeCell ref="B385:C385"/>
    <mergeCell ref="N336:N337"/>
    <mergeCell ref="B330:B331"/>
    <mergeCell ref="B414:C414"/>
    <mergeCell ref="E330:E331"/>
    <mergeCell ref="F368:F369"/>
    <mergeCell ref="N333:N334"/>
    <mergeCell ref="C419:C426"/>
    <mergeCell ref="B416:E416"/>
    <mergeCell ref="B418:E418"/>
    <mergeCell ref="E419:E426"/>
    <mergeCell ref="B31:C31"/>
    <mergeCell ref="B33:C33"/>
    <mergeCell ref="B35:C35"/>
    <mergeCell ref="B38:C38"/>
    <mergeCell ref="M308:M313"/>
    <mergeCell ref="H308:H313"/>
    <mergeCell ref="L330:L331"/>
    <mergeCell ref="N419:N426"/>
    <mergeCell ref="N66:N69"/>
    <mergeCell ref="M79:M80"/>
    <mergeCell ref="N79:N80"/>
    <mergeCell ref="B78:C78"/>
    <mergeCell ref="E106:E110"/>
    <mergeCell ref="H106:H110"/>
    <mergeCell ref="M106:M110"/>
    <mergeCell ref="N106:N110"/>
    <mergeCell ref="M91:M92"/>
    <mergeCell ref="N91:N92"/>
    <mergeCell ref="M112:M114"/>
    <mergeCell ref="N112:N114"/>
    <mergeCell ref="M101:M104"/>
    <mergeCell ref="N101:N104"/>
    <mergeCell ref="N124:N127"/>
    <mergeCell ref="N117:N119"/>
    <mergeCell ref="M436:M438"/>
    <mergeCell ref="M440:M441"/>
    <mergeCell ref="N440:N441"/>
    <mergeCell ref="H440:H441"/>
    <mergeCell ref="H443:H444"/>
    <mergeCell ref="B470:E470"/>
    <mergeCell ref="B472:E472"/>
    <mergeCell ref="B474:E474"/>
    <mergeCell ref="B440:B441"/>
    <mergeCell ref="B445:E445"/>
    <mergeCell ref="B442:E442"/>
    <mergeCell ref="L443:L444"/>
    <mergeCell ref="B455:E455"/>
    <mergeCell ref="B447:E447"/>
    <mergeCell ref="N436:N438"/>
    <mergeCell ref="H436:H438"/>
    <mergeCell ref="L440:L441"/>
    <mergeCell ref="M443:M444"/>
    <mergeCell ref="N443:N444"/>
    <mergeCell ref="B451:E451"/>
    <mergeCell ref="B453:E453"/>
    <mergeCell ref="A491:A493"/>
    <mergeCell ref="B494:E494"/>
    <mergeCell ref="M491:M493"/>
    <mergeCell ref="C495:C496"/>
    <mergeCell ref="B495:B496"/>
    <mergeCell ref="A495:A496"/>
    <mergeCell ref="H495:H496"/>
    <mergeCell ref="B501:E501"/>
    <mergeCell ref="M518:M519"/>
    <mergeCell ref="B513:E513"/>
    <mergeCell ref="A508:A509"/>
    <mergeCell ref="B508:B509"/>
    <mergeCell ref="C508:C509"/>
    <mergeCell ref="E508:E509"/>
    <mergeCell ref="H508:H509"/>
    <mergeCell ref="M508:M509"/>
    <mergeCell ref="B510:E510"/>
    <mergeCell ref="H491:H493"/>
    <mergeCell ref="M495:M496"/>
    <mergeCell ref="B505:E505"/>
    <mergeCell ref="B515:E515"/>
    <mergeCell ref="B517:E517"/>
    <mergeCell ref="A511:A512"/>
    <mergeCell ref="B511:B512"/>
    <mergeCell ref="A518:A519"/>
    <mergeCell ref="B518:B519"/>
    <mergeCell ref="C518:C519"/>
    <mergeCell ref="E518:E519"/>
    <mergeCell ref="H518:H519"/>
    <mergeCell ref="A523:A524"/>
    <mergeCell ref="B523:B524"/>
    <mergeCell ref="C523:C524"/>
    <mergeCell ref="E523:E524"/>
    <mergeCell ref="H523:H524"/>
    <mergeCell ref="B531:E531"/>
    <mergeCell ref="B533:E533"/>
    <mergeCell ref="A559:A560"/>
    <mergeCell ref="B559:B560"/>
    <mergeCell ref="C559:C560"/>
    <mergeCell ref="H535:H537"/>
    <mergeCell ref="H543:H545"/>
    <mergeCell ref="H547:H548"/>
    <mergeCell ref="H554:H557"/>
    <mergeCell ref="H559:H560"/>
    <mergeCell ref="E535:E537"/>
    <mergeCell ref="E543:E545"/>
    <mergeCell ref="E547:E548"/>
    <mergeCell ref="E554:E557"/>
    <mergeCell ref="E559:E560"/>
    <mergeCell ref="B527:E527"/>
    <mergeCell ref="B529:E529"/>
    <mergeCell ref="B525:E525"/>
    <mergeCell ref="M535:M537"/>
    <mergeCell ref="M543:M545"/>
    <mergeCell ref="M547:M548"/>
    <mergeCell ref="C616:D616"/>
    <mergeCell ref="A535:A537"/>
    <mergeCell ref="B535:B537"/>
    <mergeCell ref="C535:C537"/>
    <mergeCell ref="A543:A545"/>
    <mergeCell ref="B543:B545"/>
    <mergeCell ref="C543:C545"/>
    <mergeCell ref="A547:A548"/>
    <mergeCell ref="B547:B548"/>
    <mergeCell ref="C547:C548"/>
    <mergeCell ref="A554:A557"/>
    <mergeCell ref="B554:B557"/>
    <mergeCell ref="C554:C557"/>
    <mergeCell ref="A562:A563"/>
    <mergeCell ref="B562:B563"/>
    <mergeCell ref="C562:C563"/>
    <mergeCell ref="A573:A574"/>
    <mergeCell ref="B573:B574"/>
    <mergeCell ref="A576:A578"/>
    <mergeCell ref="B576:B578"/>
    <mergeCell ref="C576:C578"/>
    <mergeCell ref="B613:C613"/>
    <mergeCell ref="B615:C615"/>
    <mergeCell ref="A582:A588"/>
    <mergeCell ref="C582:C588"/>
    <mergeCell ref="B597:E597"/>
    <mergeCell ref="B599:E599"/>
    <mergeCell ref="C573:C574"/>
    <mergeCell ref="B601:C601"/>
    <mergeCell ref="B603:C603"/>
    <mergeCell ref="B605:C605"/>
    <mergeCell ref="E573:E574"/>
    <mergeCell ref="E576:E578"/>
    <mergeCell ref="B582:B588"/>
    <mergeCell ref="E582:E588"/>
    <mergeCell ref="N535:N537"/>
    <mergeCell ref="N543:N545"/>
    <mergeCell ref="N547:N548"/>
    <mergeCell ref="N554:N557"/>
    <mergeCell ref="N559:N563"/>
    <mergeCell ref="N573:N574"/>
    <mergeCell ref="H562:H563"/>
    <mergeCell ref="H573:H574"/>
    <mergeCell ref="H576:H578"/>
    <mergeCell ref="N576:N578"/>
    <mergeCell ref="H582:H588"/>
    <mergeCell ref="M554:M557"/>
    <mergeCell ref="M559:M563"/>
    <mergeCell ref="M573:M574"/>
    <mergeCell ref="M576:M578"/>
    <mergeCell ref="M582:M588"/>
    <mergeCell ref="A687:A688"/>
    <mergeCell ref="B687:B688"/>
    <mergeCell ref="A684:A685"/>
    <mergeCell ref="B684:B685"/>
    <mergeCell ref="A660:A662"/>
    <mergeCell ref="B660:B662"/>
    <mergeCell ref="A667:A671"/>
    <mergeCell ref="B667:B671"/>
    <mergeCell ref="B678:C678"/>
    <mergeCell ref="B680:C680"/>
    <mergeCell ref="B683:C683"/>
    <mergeCell ref="B674:C674"/>
    <mergeCell ref="B676:C676"/>
    <mergeCell ref="B644:C644"/>
    <mergeCell ref="B647:C647"/>
    <mergeCell ref="A645:A646"/>
    <mergeCell ref="B645:B646"/>
    <mergeCell ref="E645:E646"/>
    <mergeCell ref="M645:M646"/>
    <mergeCell ref="N645:N646"/>
    <mergeCell ref="A648:A650"/>
    <mergeCell ref="B648:B650"/>
    <mergeCell ref="E648:E650"/>
    <mergeCell ref="M648:M650"/>
    <mergeCell ref="N648:N650"/>
    <mergeCell ref="H645:H646"/>
    <mergeCell ref="H648:H650"/>
    <mergeCell ref="A652:A653"/>
    <mergeCell ref="B652:B653"/>
    <mergeCell ref="E652:E653"/>
    <mergeCell ref="M652:M653"/>
    <mergeCell ref="N652:N653"/>
    <mergeCell ref="A681:A682"/>
    <mergeCell ref="B681:B682"/>
    <mergeCell ref="E681:E682"/>
    <mergeCell ref="M681:M682"/>
    <mergeCell ref="N681:N682"/>
    <mergeCell ref="H652:H653"/>
    <mergeCell ref="H681:H682"/>
    <mergeCell ref="E660:E662"/>
    <mergeCell ref="H660:H662"/>
    <mergeCell ref="M660:M662"/>
    <mergeCell ref="N660:N662"/>
    <mergeCell ref="A657:A658"/>
    <mergeCell ref="B657:B658"/>
    <mergeCell ref="A664:A665"/>
    <mergeCell ref="B664:B665"/>
    <mergeCell ref="M657:M658"/>
    <mergeCell ref="E772:E774"/>
    <mergeCell ref="L695:L696"/>
    <mergeCell ref="M695:M696"/>
    <mergeCell ref="N695:N696"/>
    <mergeCell ref="O695:O696"/>
    <mergeCell ref="C698:C699"/>
    <mergeCell ref="D698:D699"/>
    <mergeCell ref="G698:G699"/>
    <mergeCell ref="L698:L699"/>
    <mergeCell ref="M698:M699"/>
    <mergeCell ref="N698:N699"/>
    <mergeCell ref="O698:O699"/>
    <mergeCell ref="E695:E696"/>
    <mergeCell ref="H695:H696"/>
    <mergeCell ref="B697:C697"/>
    <mergeCell ref="G695:G696"/>
    <mergeCell ref="E698:E699"/>
    <mergeCell ref="H698:H699"/>
    <mergeCell ref="F695:F696"/>
    <mergeCell ref="F698:F699"/>
    <mergeCell ref="H772:H774"/>
    <mergeCell ref="H750:H759"/>
    <mergeCell ref="H761:H770"/>
    <mergeCell ref="E761:E770"/>
    <mergeCell ref="F711:F712"/>
    <mergeCell ref="M761:M770"/>
    <mergeCell ref="N761:N770"/>
    <mergeCell ref="M750:M759"/>
    <mergeCell ref="N750:N759"/>
    <mergeCell ref="M772:M774"/>
    <mergeCell ref="N772:N774"/>
    <mergeCell ref="O711:O712"/>
    <mergeCell ref="A714:A715"/>
    <mergeCell ref="B714:B715"/>
    <mergeCell ref="E714:E715"/>
    <mergeCell ref="H714:H715"/>
    <mergeCell ref="M714:M715"/>
    <mergeCell ref="N714:N715"/>
    <mergeCell ref="O714:O715"/>
    <mergeCell ref="A711:A712"/>
    <mergeCell ref="B711:B712"/>
    <mergeCell ref="C711:C712"/>
    <mergeCell ref="E711:E712"/>
    <mergeCell ref="G711:G712"/>
    <mergeCell ref="H711:H712"/>
    <mergeCell ref="L711:L712"/>
    <mergeCell ref="M711:M712"/>
    <mergeCell ref="N711:N712"/>
  </mergeCells>
  <phoneticPr fontId="14" type="noConversion"/>
  <pageMargins left="0.7" right="0.7" top="0.75" bottom="0.75" header="0.3" footer="0.3"/>
  <pageSetup paperSize="9" scale="25" fitToHeight="0" orientation="landscape" r:id="rId1"/>
  <rowBreaks count="27" manualBreakCount="27">
    <brk id="23" max="15" man="1"/>
    <brk id="31" max="15" man="1"/>
    <brk id="53" max="15" man="1"/>
    <brk id="74" max="15" man="1"/>
    <brk id="83" max="15" man="1"/>
    <brk id="110" max="15" man="1"/>
    <brk id="128" max="15" man="1"/>
    <brk id="139" max="15" man="1"/>
    <brk id="165" max="15" man="1"/>
    <brk id="179" max="15" man="1"/>
    <brk id="190" max="15" man="1"/>
    <brk id="204" max="15" man="1"/>
    <brk id="223" max="15" man="1"/>
    <brk id="233" max="15" man="1"/>
    <brk id="254" max="15" man="1"/>
    <brk id="270" max="15" man="1"/>
    <brk id="288" max="15" man="1"/>
    <brk id="306" max="15" man="1"/>
    <brk id="336" max="15" man="1"/>
    <brk id="346" max="15" man="1"/>
    <brk id="371" max="15" man="1"/>
    <brk id="390" max="15" man="1"/>
    <brk id="406" max="15" man="1"/>
    <brk id="418" max="15" man="1"/>
    <brk id="438" max="15" man="1"/>
    <brk id="449" max="15" man="1"/>
    <brk id="47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26"/>
  <sheetViews>
    <sheetView topLeftCell="A774" zoomScale="55" zoomScaleNormal="55" zoomScaleSheetLayoutView="55" workbookViewId="0">
      <selection activeCell="N805" sqref="N805"/>
    </sheetView>
  </sheetViews>
  <sheetFormatPr defaultColWidth="9.140625" defaultRowHeight="15.75" x14ac:dyDescent="0.25"/>
  <cols>
    <col min="1" max="1" width="7.28515625" style="317" customWidth="1"/>
    <col min="2" max="2" width="54.28515625" style="8" customWidth="1"/>
    <col min="3" max="3" width="67.5703125" style="8" customWidth="1"/>
    <col min="4" max="4" width="77.5703125" style="8" customWidth="1"/>
    <col min="5" max="5" width="43.5703125" style="7" customWidth="1"/>
    <col min="6" max="6" width="41" style="12" customWidth="1"/>
    <col min="7" max="7" width="30.5703125" style="7" customWidth="1"/>
    <col min="8" max="8" width="18.28515625" style="7" customWidth="1"/>
    <col min="9" max="9" width="29.5703125" style="7" customWidth="1"/>
    <col min="10" max="10" width="28.28515625" style="12" customWidth="1"/>
    <col min="11" max="11" width="21.5703125" style="7" customWidth="1"/>
    <col min="12" max="12" width="23.28515625" style="7" customWidth="1"/>
    <col min="13" max="13" width="38" style="7" customWidth="1"/>
    <col min="14" max="14" width="38.85546875" style="7" customWidth="1"/>
    <col min="15" max="15" width="0" style="7" hidden="1" customWidth="1"/>
    <col min="16" max="16" width="8.5703125" style="7" customWidth="1"/>
    <col min="17" max="16384" width="9.140625" style="7"/>
  </cols>
  <sheetData>
    <row r="1" spans="1:15" ht="23.25" thickBot="1" x14ac:dyDescent="0.35">
      <c r="A1" s="589" t="s">
        <v>535</v>
      </c>
      <c r="B1" s="590"/>
      <c r="C1" s="589"/>
      <c r="D1" s="589"/>
      <c r="E1" s="591"/>
      <c r="F1" s="592"/>
      <c r="G1" s="592"/>
      <c r="H1" s="592"/>
      <c r="I1" s="592"/>
      <c r="J1" s="592"/>
      <c r="K1" s="592"/>
      <c r="L1" s="592"/>
      <c r="M1" s="592"/>
      <c r="N1" s="592"/>
    </row>
    <row r="2" spans="1:15" ht="39" customHeight="1" x14ac:dyDescent="0.25">
      <c r="A2" s="593" t="s">
        <v>0</v>
      </c>
      <c r="B2" s="595" t="s">
        <v>536</v>
      </c>
      <c r="C2" s="595" t="s">
        <v>537</v>
      </c>
      <c r="D2" s="595" t="s">
        <v>538</v>
      </c>
      <c r="E2" s="436" t="s">
        <v>539</v>
      </c>
      <c r="F2" s="437" t="s">
        <v>2048</v>
      </c>
      <c r="G2" s="436" t="s">
        <v>540</v>
      </c>
      <c r="H2" s="436" t="s">
        <v>543</v>
      </c>
      <c r="I2" s="436"/>
      <c r="J2" s="437" t="s">
        <v>1641</v>
      </c>
      <c r="K2" s="436" t="s">
        <v>544</v>
      </c>
      <c r="L2" s="432" t="s">
        <v>545</v>
      </c>
      <c r="M2" s="432" t="s">
        <v>546</v>
      </c>
      <c r="N2" s="432" t="s">
        <v>547</v>
      </c>
    </row>
    <row r="3" spans="1:15" ht="67.5" customHeight="1" x14ac:dyDescent="0.25">
      <c r="A3" s="594"/>
      <c r="B3" s="596"/>
      <c r="C3" s="596"/>
      <c r="D3" s="596"/>
      <c r="E3" s="597"/>
      <c r="F3" s="528"/>
      <c r="G3" s="597"/>
      <c r="H3" s="340" t="s">
        <v>541</v>
      </c>
      <c r="I3" s="340" t="s">
        <v>542</v>
      </c>
      <c r="J3" s="528"/>
      <c r="K3" s="597"/>
      <c r="L3" s="598"/>
      <c r="M3" s="598"/>
      <c r="N3" s="598"/>
      <c r="O3" s="599"/>
    </row>
    <row r="4" spans="1:15" ht="39.75" customHeight="1" x14ac:dyDescent="0.25">
      <c r="A4" s="402" t="s">
        <v>13</v>
      </c>
      <c r="B4" s="108" t="s">
        <v>548</v>
      </c>
      <c r="C4" s="117" t="s">
        <v>549</v>
      </c>
      <c r="D4" s="117" t="s">
        <v>550</v>
      </c>
      <c r="E4" s="101" t="s">
        <v>551</v>
      </c>
      <c r="F4" s="102">
        <v>13.754741900000001</v>
      </c>
      <c r="G4" s="101" t="s">
        <v>552</v>
      </c>
      <c r="H4" s="101" t="s">
        <v>553</v>
      </c>
      <c r="I4" s="101">
        <v>141875</v>
      </c>
      <c r="J4" s="102">
        <v>2.5055069900000002</v>
      </c>
      <c r="K4" s="101">
        <v>5</v>
      </c>
      <c r="L4" s="339">
        <v>2016</v>
      </c>
      <c r="M4" s="293" t="s">
        <v>1834</v>
      </c>
      <c r="N4" s="293" t="s">
        <v>554</v>
      </c>
      <c r="O4" s="599"/>
    </row>
    <row r="5" spans="1:15" ht="21.75" customHeight="1" x14ac:dyDescent="0.25">
      <c r="A5" s="402"/>
      <c r="B5" s="562" t="s">
        <v>555</v>
      </c>
      <c r="C5" s="564"/>
      <c r="D5" s="169"/>
      <c r="E5" s="47"/>
      <c r="F5" s="37">
        <f>SUM(F4)</f>
        <v>13.754741900000001</v>
      </c>
      <c r="G5" s="47"/>
      <c r="H5" s="47"/>
      <c r="I5" s="47"/>
      <c r="J5" s="37">
        <f>SUM(J4)</f>
        <v>2.5055069900000002</v>
      </c>
      <c r="K5" s="47"/>
      <c r="L5" s="296"/>
      <c r="M5" s="293"/>
      <c r="N5" s="293"/>
    </row>
    <row r="6" spans="1:15" ht="25.5" customHeight="1" x14ac:dyDescent="0.25">
      <c r="A6" s="584" t="s">
        <v>23</v>
      </c>
      <c r="B6" s="426" t="s">
        <v>556</v>
      </c>
      <c r="C6" s="439" t="s">
        <v>557</v>
      </c>
      <c r="D6" s="117" t="s">
        <v>558</v>
      </c>
      <c r="E6" s="427" t="s">
        <v>565</v>
      </c>
      <c r="F6" s="89">
        <v>24.4</v>
      </c>
      <c r="G6" s="427" t="s">
        <v>1971</v>
      </c>
      <c r="H6" s="101" t="s">
        <v>553</v>
      </c>
      <c r="I6" s="101">
        <v>1048061.5</v>
      </c>
      <c r="J6" s="87">
        <v>5.4184799999999997</v>
      </c>
      <c r="K6" s="101">
        <v>4.5</v>
      </c>
      <c r="L6" s="585">
        <v>2016</v>
      </c>
      <c r="M6" s="576" t="s">
        <v>1144</v>
      </c>
      <c r="N6" s="576" t="s">
        <v>554</v>
      </c>
    </row>
    <row r="7" spans="1:15" ht="25.5" customHeight="1" x14ac:dyDescent="0.25">
      <c r="A7" s="584"/>
      <c r="B7" s="426"/>
      <c r="C7" s="439"/>
      <c r="D7" s="117" t="s">
        <v>559</v>
      </c>
      <c r="E7" s="427"/>
      <c r="F7" s="89">
        <v>4.03</v>
      </c>
      <c r="G7" s="427"/>
      <c r="H7" s="101" t="s">
        <v>553</v>
      </c>
      <c r="I7" s="101">
        <v>182193.5</v>
      </c>
      <c r="J7" s="87">
        <v>0.94194</v>
      </c>
      <c r="K7" s="101">
        <v>4.3</v>
      </c>
      <c r="L7" s="585"/>
      <c r="M7" s="580"/>
      <c r="N7" s="580"/>
    </row>
    <row r="8" spans="1:15" ht="25.5" customHeight="1" x14ac:dyDescent="0.25">
      <c r="A8" s="584"/>
      <c r="B8" s="426"/>
      <c r="C8" s="439"/>
      <c r="D8" s="117" t="s">
        <v>560</v>
      </c>
      <c r="E8" s="427"/>
      <c r="F8" s="89">
        <v>18.48</v>
      </c>
      <c r="G8" s="427"/>
      <c r="H8" s="101" t="s">
        <v>553</v>
      </c>
      <c r="I8" s="101">
        <v>607285.5</v>
      </c>
      <c r="J8" s="87">
        <v>3.1396700000000002</v>
      </c>
      <c r="K8" s="101">
        <v>5.9</v>
      </c>
      <c r="L8" s="585"/>
      <c r="M8" s="580"/>
      <c r="N8" s="580"/>
    </row>
    <row r="9" spans="1:15" ht="25.5" customHeight="1" x14ac:dyDescent="0.25">
      <c r="A9" s="584"/>
      <c r="B9" s="426"/>
      <c r="C9" s="439"/>
      <c r="D9" s="117" t="s">
        <v>561</v>
      </c>
      <c r="E9" s="427"/>
      <c r="F9" s="89">
        <v>0.94</v>
      </c>
      <c r="G9" s="427"/>
      <c r="H9" s="101" t="s">
        <v>553</v>
      </c>
      <c r="I9" s="101">
        <v>38080</v>
      </c>
      <c r="J9" s="87">
        <v>0.19686999999999999</v>
      </c>
      <c r="K9" s="101">
        <v>4.8</v>
      </c>
      <c r="L9" s="585"/>
      <c r="M9" s="580"/>
      <c r="N9" s="580"/>
    </row>
    <row r="10" spans="1:15" ht="56.25" customHeight="1" x14ac:dyDescent="0.25">
      <c r="A10" s="584"/>
      <c r="B10" s="426"/>
      <c r="C10" s="439"/>
      <c r="D10" s="117" t="s">
        <v>562</v>
      </c>
      <c r="E10" s="427"/>
      <c r="F10" s="89">
        <v>0.33</v>
      </c>
      <c r="G10" s="427"/>
      <c r="H10" s="101" t="s">
        <v>553</v>
      </c>
      <c r="I10" s="101">
        <v>14114.5</v>
      </c>
      <c r="J10" s="87">
        <v>7.2969999999999993E-2</v>
      </c>
      <c r="K10" s="101">
        <v>4.5</v>
      </c>
      <c r="L10" s="585"/>
      <c r="M10" s="580"/>
      <c r="N10" s="580"/>
    </row>
    <row r="11" spans="1:15" ht="18.75" x14ac:dyDescent="0.25">
      <c r="A11" s="584"/>
      <c r="B11" s="426"/>
      <c r="C11" s="439"/>
      <c r="D11" s="117" t="s">
        <v>563</v>
      </c>
      <c r="E11" s="427"/>
      <c r="F11" s="87">
        <v>9.5000000000000001E-2</v>
      </c>
      <c r="G11" s="427"/>
      <c r="H11" s="101" t="s">
        <v>553</v>
      </c>
      <c r="I11" s="101">
        <v>4404</v>
      </c>
      <c r="J11" s="87">
        <f>22.77/1000</f>
        <v>2.2769999999999999E-2</v>
      </c>
      <c r="K11" s="101">
        <v>4.2</v>
      </c>
      <c r="L11" s="585"/>
      <c r="M11" s="580"/>
      <c r="N11" s="580"/>
    </row>
    <row r="12" spans="1:15" ht="18.75" x14ac:dyDescent="0.25">
      <c r="A12" s="584"/>
      <c r="B12" s="426"/>
      <c r="C12" s="439"/>
      <c r="D12" s="117" t="s">
        <v>564</v>
      </c>
      <c r="E12" s="427"/>
      <c r="F12" s="89">
        <v>24.66</v>
      </c>
      <c r="G12" s="427"/>
      <c r="H12" s="101" t="s">
        <v>553</v>
      </c>
      <c r="I12" s="101">
        <v>4586500</v>
      </c>
      <c r="J12" s="87">
        <f>23712.21/1000</f>
        <v>23.712209999999999</v>
      </c>
      <c r="K12" s="101">
        <v>1</v>
      </c>
      <c r="L12" s="585"/>
      <c r="M12" s="577"/>
      <c r="N12" s="577"/>
    </row>
    <row r="13" spans="1:15" ht="21.75" customHeight="1" x14ac:dyDescent="0.25">
      <c r="A13" s="402"/>
      <c r="B13" s="562" t="s">
        <v>555</v>
      </c>
      <c r="C13" s="564"/>
      <c r="D13" s="169"/>
      <c r="E13" s="47"/>
      <c r="F13" s="88">
        <f>SUM(F6:F12)</f>
        <v>72.934999999999988</v>
      </c>
      <c r="G13" s="47"/>
      <c r="H13" s="47"/>
      <c r="I13" s="47"/>
      <c r="J13" s="88">
        <f>SUM(J6:J12)</f>
        <v>33.504909999999995</v>
      </c>
      <c r="K13" s="47"/>
      <c r="L13" s="296"/>
      <c r="M13" s="293"/>
      <c r="N13" s="293"/>
    </row>
    <row r="14" spans="1:15" ht="18.75" x14ac:dyDescent="0.25">
      <c r="A14" s="584" t="s">
        <v>34</v>
      </c>
      <c r="B14" s="426" t="s">
        <v>2082</v>
      </c>
      <c r="C14" s="439" t="s">
        <v>566</v>
      </c>
      <c r="D14" s="117" t="s">
        <v>567</v>
      </c>
      <c r="E14" s="427" t="s">
        <v>570</v>
      </c>
      <c r="F14" s="87">
        <v>5</v>
      </c>
      <c r="G14" s="427" t="s">
        <v>571</v>
      </c>
      <c r="H14" s="101" t="s">
        <v>37</v>
      </c>
      <c r="I14" s="101">
        <v>120.07</v>
      </c>
      <c r="J14" s="87">
        <v>0.73530899999999999</v>
      </c>
      <c r="K14" s="101">
        <v>7</v>
      </c>
      <c r="L14" s="585">
        <v>2016</v>
      </c>
      <c r="M14" s="576" t="s">
        <v>1834</v>
      </c>
      <c r="N14" s="576" t="s">
        <v>554</v>
      </c>
    </row>
    <row r="15" spans="1:15" ht="37.5" x14ac:dyDescent="0.25">
      <c r="A15" s="584"/>
      <c r="B15" s="426"/>
      <c r="C15" s="439"/>
      <c r="D15" s="166" t="s">
        <v>568</v>
      </c>
      <c r="E15" s="427"/>
      <c r="F15" s="87">
        <v>7</v>
      </c>
      <c r="G15" s="427"/>
      <c r="H15" s="325" t="s">
        <v>37</v>
      </c>
      <c r="I15" s="325">
        <v>144.6</v>
      </c>
      <c r="J15" s="87">
        <v>0.88553000000000004</v>
      </c>
      <c r="K15" s="325">
        <v>8</v>
      </c>
      <c r="L15" s="585"/>
      <c r="M15" s="580"/>
      <c r="N15" s="580"/>
    </row>
    <row r="16" spans="1:15" ht="18.75" x14ac:dyDescent="0.25">
      <c r="A16" s="584"/>
      <c r="B16" s="426"/>
      <c r="C16" s="439"/>
      <c r="D16" s="166" t="s">
        <v>569</v>
      </c>
      <c r="E16" s="427"/>
      <c r="F16" s="87">
        <v>1.5</v>
      </c>
      <c r="G16" s="427"/>
      <c r="H16" s="325" t="s">
        <v>553</v>
      </c>
      <c r="I16" s="325">
        <v>19950</v>
      </c>
      <c r="J16" s="87">
        <v>0.25861200000000001</v>
      </c>
      <c r="K16" s="325">
        <v>6</v>
      </c>
      <c r="L16" s="585"/>
      <c r="M16" s="577"/>
      <c r="N16" s="577"/>
    </row>
    <row r="17" spans="1:14" ht="19.5" x14ac:dyDescent="0.25">
      <c r="A17" s="402"/>
      <c r="B17" s="562" t="s">
        <v>555</v>
      </c>
      <c r="C17" s="564"/>
      <c r="D17" s="169"/>
      <c r="E17" s="47"/>
      <c r="F17" s="88">
        <f>SUM(F14:F16)</f>
        <v>13.5</v>
      </c>
      <c r="G17" s="47"/>
      <c r="H17" s="47"/>
      <c r="I17" s="47"/>
      <c r="J17" s="88">
        <f>SUM(J14:J16)</f>
        <v>1.8794510000000002</v>
      </c>
      <c r="K17" s="47"/>
      <c r="L17" s="296"/>
      <c r="M17" s="293"/>
      <c r="N17" s="293"/>
    </row>
    <row r="18" spans="1:14" ht="18.75" x14ac:dyDescent="0.25">
      <c r="A18" s="584" t="s">
        <v>41</v>
      </c>
      <c r="B18" s="426" t="s">
        <v>1290</v>
      </c>
      <c r="C18" s="439" t="s">
        <v>572</v>
      </c>
      <c r="D18" s="117" t="s">
        <v>567</v>
      </c>
      <c r="E18" s="427" t="s">
        <v>570</v>
      </c>
      <c r="F18" s="122">
        <v>5.5</v>
      </c>
      <c r="G18" s="427" t="s">
        <v>571</v>
      </c>
      <c r="H18" s="101" t="s">
        <v>37</v>
      </c>
      <c r="I18" s="101">
        <v>183</v>
      </c>
      <c r="J18" s="87">
        <v>1.120692</v>
      </c>
      <c r="K18" s="101">
        <v>5</v>
      </c>
      <c r="L18" s="585">
        <v>2016</v>
      </c>
      <c r="M18" s="576" t="s">
        <v>1955</v>
      </c>
      <c r="N18" s="576" t="s">
        <v>554</v>
      </c>
    </row>
    <row r="19" spans="1:14" ht="37.5" x14ac:dyDescent="0.25">
      <c r="A19" s="584"/>
      <c r="B19" s="426"/>
      <c r="C19" s="439"/>
      <c r="D19" s="117" t="s">
        <v>568</v>
      </c>
      <c r="E19" s="427"/>
      <c r="F19" s="90">
        <v>7</v>
      </c>
      <c r="G19" s="427"/>
      <c r="H19" s="101" t="s">
        <v>37</v>
      </c>
      <c r="I19" s="101">
        <v>145</v>
      </c>
      <c r="J19" s="87">
        <v>0.88797999999999999</v>
      </c>
      <c r="K19" s="101">
        <v>8</v>
      </c>
      <c r="L19" s="585"/>
      <c r="M19" s="580"/>
      <c r="N19" s="580"/>
    </row>
    <row r="20" spans="1:14" ht="18.75" x14ac:dyDescent="0.25">
      <c r="A20" s="584"/>
      <c r="B20" s="426"/>
      <c r="C20" s="439"/>
      <c r="D20" s="117" t="s">
        <v>569</v>
      </c>
      <c r="E20" s="427"/>
      <c r="F20" s="122">
        <v>1.5</v>
      </c>
      <c r="G20" s="427"/>
      <c r="H20" s="101" t="s">
        <v>553</v>
      </c>
      <c r="I20" s="101">
        <v>24107</v>
      </c>
      <c r="J20" s="87">
        <v>0.31249900000000003</v>
      </c>
      <c r="K20" s="101">
        <v>5</v>
      </c>
      <c r="L20" s="585"/>
      <c r="M20" s="577"/>
      <c r="N20" s="577"/>
    </row>
    <row r="21" spans="1:14" ht="19.5" x14ac:dyDescent="0.25">
      <c r="A21" s="402"/>
      <c r="B21" s="562" t="s">
        <v>555</v>
      </c>
      <c r="C21" s="564"/>
      <c r="D21" s="169"/>
      <c r="E21" s="47"/>
      <c r="F21" s="88">
        <f>SUM(F18:F20)</f>
        <v>14</v>
      </c>
      <c r="G21" s="47"/>
      <c r="H21" s="47"/>
      <c r="I21" s="47"/>
      <c r="J21" s="88">
        <f>SUM(J18:J20)</f>
        <v>2.3211709999999997</v>
      </c>
      <c r="K21" s="47"/>
      <c r="L21" s="296"/>
      <c r="M21" s="293"/>
      <c r="N21" s="293"/>
    </row>
    <row r="22" spans="1:14" ht="38.25" customHeight="1" x14ac:dyDescent="0.25">
      <c r="A22" s="402" t="s">
        <v>44</v>
      </c>
      <c r="B22" s="108" t="s">
        <v>573</v>
      </c>
      <c r="C22" s="170" t="s">
        <v>574</v>
      </c>
      <c r="D22" s="117" t="s">
        <v>575</v>
      </c>
      <c r="E22" s="101" t="s">
        <v>576</v>
      </c>
      <c r="F22" s="87">
        <v>25.08</v>
      </c>
      <c r="G22" s="101" t="s">
        <v>1971</v>
      </c>
      <c r="H22" s="101" t="s">
        <v>553</v>
      </c>
      <c r="I22" s="101">
        <v>253950</v>
      </c>
      <c r="J22" s="87">
        <v>8.36</v>
      </c>
      <c r="K22" s="101">
        <v>3</v>
      </c>
      <c r="L22" s="339">
        <v>2016</v>
      </c>
      <c r="M22" s="293" t="s">
        <v>1107</v>
      </c>
      <c r="N22" s="293" t="s">
        <v>554</v>
      </c>
    </row>
    <row r="23" spans="1:14" ht="19.5" x14ac:dyDescent="0.25">
      <c r="A23" s="402"/>
      <c r="B23" s="562" t="s">
        <v>555</v>
      </c>
      <c r="C23" s="564"/>
      <c r="D23" s="169"/>
      <c r="E23" s="47"/>
      <c r="F23" s="88">
        <f>SUM(F22)</f>
        <v>25.08</v>
      </c>
      <c r="G23" s="47"/>
      <c r="H23" s="47"/>
      <c r="I23" s="47"/>
      <c r="J23" s="88">
        <f>SUM(J22)</f>
        <v>8.36</v>
      </c>
      <c r="K23" s="47"/>
      <c r="L23" s="296"/>
      <c r="M23" s="293"/>
      <c r="N23" s="293"/>
    </row>
    <row r="24" spans="1:14" ht="42.75" customHeight="1" x14ac:dyDescent="0.25">
      <c r="A24" s="402" t="s">
        <v>49</v>
      </c>
      <c r="B24" s="108" t="s">
        <v>577</v>
      </c>
      <c r="C24" s="117" t="s">
        <v>578</v>
      </c>
      <c r="D24" s="117" t="s">
        <v>579</v>
      </c>
      <c r="E24" s="101" t="s">
        <v>580</v>
      </c>
      <c r="F24" s="87">
        <v>168.737765</v>
      </c>
      <c r="G24" s="101" t="s">
        <v>1971</v>
      </c>
      <c r="H24" s="101" t="s">
        <v>553</v>
      </c>
      <c r="I24" s="101">
        <v>4069677</v>
      </c>
      <c r="J24" s="87">
        <v>52.344185000000003</v>
      </c>
      <c r="K24" s="101">
        <v>4</v>
      </c>
      <c r="L24" s="339">
        <v>2016</v>
      </c>
      <c r="M24" s="293" t="s">
        <v>1834</v>
      </c>
      <c r="N24" s="293" t="s">
        <v>554</v>
      </c>
    </row>
    <row r="25" spans="1:14" ht="19.5" x14ac:dyDescent="0.25">
      <c r="A25" s="402"/>
      <c r="B25" s="562" t="s">
        <v>555</v>
      </c>
      <c r="C25" s="564"/>
      <c r="D25" s="169"/>
      <c r="E25" s="47"/>
      <c r="F25" s="88">
        <f>SUM(F24)</f>
        <v>168.737765</v>
      </c>
      <c r="G25" s="47"/>
      <c r="H25" s="47"/>
      <c r="I25" s="47"/>
      <c r="J25" s="88">
        <f>SUM(J24)</f>
        <v>52.344185000000003</v>
      </c>
      <c r="K25" s="47"/>
      <c r="L25" s="296"/>
      <c r="M25" s="293"/>
      <c r="N25" s="293"/>
    </row>
    <row r="26" spans="1:14" ht="18.75" x14ac:dyDescent="0.25">
      <c r="A26" s="584" t="s">
        <v>53</v>
      </c>
      <c r="B26" s="426" t="s">
        <v>581</v>
      </c>
      <c r="C26" s="439" t="s">
        <v>582</v>
      </c>
      <c r="D26" s="117" t="s">
        <v>567</v>
      </c>
      <c r="E26" s="427" t="s">
        <v>570</v>
      </c>
      <c r="F26" s="87">
        <v>5.6</v>
      </c>
      <c r="G26" s="427" t="s">
        <v>571</v>
      </c>
      <c r="H26" s="101" t="s">
        <v>37</v>
      </c>
      <c r="I26" s="101">
        <v>134.47999999999999</v>
      </c>
      <c r="J26" s="87">
        <v>0.82355599999999995</v>
      </c>
      <c r="K26" s="101">
        <v>7</v>
      </c>
      <c r="L26" s="339">
        <v>2016</v>
      </c>
      <c r="M26" s="576" t="s">
        <v>1955</v>
      </c>
      <c r="N26" s="576" t="s">
        <v>554</v>
      </c>
    </row>
    <row r="27" spans="1:14" ht="37.5" x14ac:dyDescent="0.25">
      <c r="A27" s="584"/>
      <c r="B27" s="426"/>
      <c r="C27" s="439"/>
      <c r="D27" s="117" t="s">
        <v>568</v>
      </c>
      <c r="E27" s="427"/>
      <c r="F27" s="87">
        <v>7</v>
      </c>
      <c r="G27" s="427"/>
      <c r="H27" s="101" t="s">
        <v>37</v>
      </c>
      <c r="I27" s="101">
        <v>146.5</v>
      </c>
      <c r="J27" s="87">
        <v>0.89716600000000002</v>
      </c>
      <c r="K27" s="101">
        <v>8</v>
      </c>
      <c r="L27" s="339">
        <v>2016</v>
      </c>
      <c r="M27" s="580"/>
      <c r="N27" s="580"/>
    </row>
    <row r="28" spans="1:14" ht="18.75" x14ac:dyDescent="0.25">
      <c r="A28" s="584"/>
      <c r="B28" s="426"/>
      <c r="C28" s="439"/>
      <c r="D28" s="117" t="s">
        <v>569</v>
      </c>
      <c r="E28" s="427"/>
      <c r="F28" s="87">
        <v>1.5</v>
      </c>
      <c r="G28" s="427"/>
      <c r="H28" s="101" t="s">
        <v>553</v>
      </c>
      <c r="I28" s="101">
        <v>23615</v>
      </c>
      <c r="J28" s="87">
        <v>0.30612099999999998</v>
      </c>
      <c r="K28" s="101">
        <v>5</v>
      </c>
      <c r="L28" s="339">
        <v>2016</v>
      </c>
      <c r="M28" s="577"/>
      <c r="N28" s="577"/>
    </row>
    <row r="29" spans="1:14" ht="19.5" x14ac:dyDescent="0.25">
      <c r="A29" s="402"/>
      <c r="B29" s="562" t="s">
        <v>555</v>
      </c>
      <c r="C29" s="564"/>
      <c r="D29" s="169"/>
      <c r="E29" s="47"/>
      <c r="F29" s="88">
        <f>SUM(F26:F28)</f>
        <v>14.1</v>
      </c>
      <c r="G29" s="47"/>
      <c r="H29" s="47"/>
      <c r="I29" s="47"/>
      <c r="J29" s="88">
        <f>SUM(J26:J28)</f>
        <v>2.026843</v>
      </c>
      <c r="K29" s="47"/>
      <c r="L29" s="296"/>
      <c r="M29" s="293"/>
      <c r="N29" s="293"/>
    </row>
    <row r="30" spans="1:14" ht="25.5" customHeight="1" x14ac:dyDescent="0.25">
      <c r="A30" s="402" t="s">
        <v>57</v>
      </c>
      <c r="B30" s="108" t="s">
        <v>583</v>
      </c>
      <c r="C30" s="117" t="s">
        <v>584</v>
      </c>
      <c r="D30" s="117" t="s">
        <v>585</v>
      </c>
      <c r="E30" s="101" t="s">
        <v>583</v>
      </c>
      <c r="F30" s="87">
        <v>19.532</v>
      </c>
      <c r="G30" s="101" t="s">
        <v>1971</v>
      </c>
      <c r="H30" s="101" t="s">
        <v>37</v>
      </c>
      <c r="I30" s="101">
        <v>1063.0999999999999</v>
      </c>
      <c r="J30" s="87">
        <v>12.95515</v>
      </c>
      <c r="K30" s="101">
        <v>1.5</v>
      </c>
      <c r="L30" s="339">
        <v>2016</v>
      </c>
      <c r="M30" s="293" t="s">
        <v>1208</v>
      </c>
      <c r="N30" s="293" t="s">
        <v>554</v>
      </c>
    </row>
    <row r="31" spans="1:14" ht="19.5" x14ac:dyDescent="0.25">
      <c r="A31" s="402"/>
      <c r="B31" s="562" t="s">
        <v>555</v>
      </c>
      <c r="C31" s="564"/>
      <c r="D31" s="169"/>
      <c r="E31" s="47"/>
      <c r="F31" s="88">
        <f>SUM(F30)</f>
        <v>19.532</v>
      </c>
      <c r="G31" s="47"/>
      <c r="H31" s="47"/>
      <c r="I31" s="47"/>
      <c r="J31" s="88">
        <f>SUM(J30)</f>
        <v>12.95515</v>
      </c>
      <c r="K31" s="47"/>
      <c r="L31" s="296"/>
      <c r="M31" s="293"/>
      <c r="N31" s="293"/>
    </row>
    <row r="32" spans="1:14" ht="37.5" x14ac:dyDescent="0.25">
      <c r="A32" s="402" t="s">
        <v>62</v>
      </c>
      <c r="B32" s="108" t="s">
        <v>586</v>
      </c>
      <c r="C32" s="117" t="s">
        <v>587</v>
      </c>
      <c r="D32" s="117" t="s">
        <v>588</v>
      </c>
      <c r="E32" s="101" t="s">
        <v>589</v>
      </c>
      <c r="F32" s="87">
        <v>7.1571999999999996</v>
      </c>
      <c r="G32" s="101" t="s">
        <v>1971</v>
      </c>
      <c r="H32" s="101" t="s">
        <v>1957</v>
      </c>
      <c r="I32" s="101">
        <v>111.2</v>
      </c>
      <c r="J32" s="87">
        <v>3.1480000000000001</v>
      </c>
      <c r="K32" s="101">
        <v>2.2999999999999998</v>
      </c>
      <c r="L32" s="339">
        <v>2016</v>
      </c>
      <c r="M32" s="293" t="s">
        <v>861</v>
      </c>
      <c r="N32" s="293" t="s">
        <v>554</v>
      </c>
    </row>
    <row r="33" spans="1:14" ht="19.5" x14ac:dyDescent="0.25">
      <c r="A33" s="402"/>
      <c r="B33" s="562" t="s">
        <v>555</v>
      </c>
      <c r="C33" s="564"/>
      <c r="D33" s="169"/>
      <c r="E33" s="47"/>
      <c r="F33" s="88">
        <f>SUM(F32)</f>
        <v>7.1571999999999996</v>
      </c>
      <c r="G33" s="47"/>
      <c r="H33" s="47"/>
      <c r="I33" s="47"/>
      <c r="J33" s="88">
        <f>SUM(J32)</f>
        <v>3.1480000000000001</v>
      </c>
      <c r="K33" s="47"/>
      <c r="L33" s="296"/>
      <c r="M33" s="293"/>
      <c r="N33" s="293"/>
    </row>
    <row r="34" spans="1:14" ht="18.75" x14ac:dyDescent="0.25">
      <c r="A34" s="584" t="s">
        <v>67</v>
      </c>
      <c r="B34" s="452" t="s">
        <v>590</v>
      </c>
      <c r="C34" s="439" t="s">
        <v>591</v>
      </c>
      <c r="D34" s="117" t="s">
        <v>592</v>
      </c>
      <c r="E34" s="101" t="s">
        <v>594</v>
      </c>
      <c r="F34" s="87">
        <v>8.9173209999999994</v>
      </c>
      <c r="G34" s="101" t="s">
        <v>1971</v>
      </c>
      <c r="H34" s="101" t="s">
        <v>553</v>
      </c>
      <c r="I34" s="101">
        <v>1051200</v>
      </c>
      <c r="J34" s="87">
        <v>9.1454400000000007</v>
      </c>
      <c r="K34" s="101">
        <v>1</v>
      </c>
      <c r="L34" s="339">
        <v>2016</v>
      </c>
      <c r="M34" s="576" t="s">
        <v>866</v>
      </c>
      <c r="N34" s="576" t="s">
        <v>554</v>
      </c>
    </row>
    <row r="35" spans="1:14" ht="37.5" x14ac:dyDescent="0.25">
      <c r="A35" s="584"/>
      <c r="B35" s="434"/>
      <c r="C35" s="439"/>
      <c r="D35" s="117" t="s">
        <v>593</v>
      </c>
      <c r="E35" s="101" t="s">
        <v>595</v>
      </c>
      <c r="F35" s="87">
        <v>12.9</v>
      </c>
      <c r="G35" s="101" t="s">
        <v>1971</v>
      </c>
      <c r="H35" s="101" t="s">
        <v>553</v>
      </c>
      <c r="I35" s="101">
        <v>342144</v>
      </c>
      <c r="J35" s="87">
        <v>2.9766499999999998</v>
      </c>
      <c r="K35" s="101">
        <v>4.3</v>
      </c>
      <c r="L35" s="339">
        <v>2016</v>
      </c>
      <c r="M35" s="577"/>
      <c r="N35" s="577"/>
    </row>
    <row r="36" spans="1:14" ht="19.5" x14ac:dyDescent="0.25">
      <c r="A36" s="402"/>
      <c r="B36" s="562" t="s">
        <v>555</v>
      </c>
      <c r="C36" s="564"/>
      <c r="D36" s="169"/>
      <c r="E36" s="47"/>
      <c r="F36" s="88">
        <f>SUM(F34:F35)</f>
        <v>21.817321</v>
      </c>
      <c r="G36" s="47"/>
      <c r="H36" s="47"/>
      <c r="I36" s="47"/>
      <c r="J36" s="88">
        <f>SUM(J34:J35)</f>
        <v>12.12209</v>
      </c>
      <c r="K36" s="47"/>
      <c r="L36" s="296"/>
      <c r="M36" s="293"/>
      <c r="N36" s="293"/>
    </row>
    <row r="37" spans="1:14" ht="61.5" customHeight="1" x14ac:dyDescent="0.25">
      <c r="A37" s="402">
        <v>11</v>
      </c>
      <c r="B37" s="108" t="s">
        <v>596</v>
      </c>
      <c r="C37" s="117" t="s">
        <v>597</v>
      </c>
      <c r="D37" s="117" t="s">
        <v>598</v>
      </c>
      <c r="E37" s="101" t="s">
        <v>599</v>
      </c>
      <c r="F37" s="87">
        <v>2.5686</v>
      </c>
      <c r="G37" s="101" t="s">
        <v>600</v>
      </c>
      <c r="H37" s="101" t="s">
        <v>553</v>
      </c>
      <c r="I37" s="101">
        <v>31558</v>
      </c>
      <c r="J37" s="87">
        <v>0.64599300000000004</v>
      </c>
      <c r="K37" s="101">
        <v>4</v>
      </c>
      <c r="L37" s="339">
        <v>2016</v>
      </c>
      <c r="M37" s="293" t="s">
        <v>1951</v>
      </c>
      <c r="N37" s="293" t="s">
        <v>554</v>
      </c>
    </row>
    <row r="38" spans="1:14" ht="19.5" x14ac:dyDescent="0.25">
      <c r="A38" s="402"/>
      <c r="B38" s="562" t="s">
        <v>555</v>
      </c>
      <c r="C38" s="564"/>
      <c r="D38" s="169"/>
      <c r="E38" s="47"/>
      <c r="F38" s="88">
        <f>SUM(F37)</f>
        <v>2.5686</v>
      </c>
      <c r="G38" s="47"/>
      <c r="H38" s="47"/>
      <c r="I38" s="47"/>
      <c r="J38" s="88">
        <f>SUM(J37)</f>
        <v>0.64599300000000004</v>
      </c>
      <c r="K38" s="47"/>
      <c r="L38" s="296"/>
      <c r="M38" s="293"/>
      <c r="N38" s="293"/>
    </row>
    <row r="39" spans="1:14" ht="57" customHeight="1" x14ac:dyDescent="0.25">
      <c r="A39" s="402">
        <v>12</v>
      </c>
      <c r="B39" s="108" t="s">
        <v>596</v>
      </c>
      <c r="C39" s="117" t="s">
        <v>601</v>
      </c>
      <c r="D39" s="117" t="s">
        <v>598</v>
      </c>
      <c r="E39" s="101" t="s">
        <v>602</v>
      </c>
      <c r="F39" s="87">
        <v>10.624599999999999</v>
      </c>
      <c r="G39" s="101" t="s">
        <v>600</v>
      </c>
      <c r="H39" s="101" t="s">
        <v>553</v>
      </c>
      <c r="I39" s="101">
        <v>88827</v>
      </c>
      <c r="J39" s="87">
        <v>2.359245</v>
      </c>
      <c r="K39" s="101">
        <v>4.5</v>
      </c>
      <c r="L39" s="339">
        <v>2016</v>
      </c>
      <c r="M39" s="293" t="s">
        <v>865</v>
      </c>
      <c r="N39" s="293" t="s">
        <v>554</v>
      </c>
    </row>
    <row r="40" spans="1:14" ht="19.5" x14ac:dyDescent="0.25">
      <c r="A40" s="402"/>
      <c r="B40" s="562" t="s">
        <v>555</v>
      </c>
      <c r="C40" s="564"/>
      <c r="D40" s="169"/>
      <c r="E40" s="47"/>
      <c r="F40" s="88">
        <f>SUM(F39)</f>
        <v>10.624599999999999</v>
      </c>
      <c r="G40" s="47"/>
      <c r="H40" s="47"/>
      <c r="I40" s="47"/>
      <c r="J40" s="88">
        <f>SUM(J39)</f>
        <v>2.359245</v>
      </c>
      <c r="K40" s="47"/>
      <c r="L40" s="296"/>
      <c r="M40" s="293"/>
      <c r="N40" s="293"/>
    </row>
    <row r="41" spans="1:14" ht="63" customHeight="1" x14ac:dyDescent="0.25">
      <c r="A41" s="402">
        <v>13</v>
      </c>
      <c r="B41" s="108" t="s">
        <v>603</v>
      </c>
      <c r="C41" s="117" t="s">
        <v>604</v>
      </c>
      <c r="D41" s="117" t="s">
        <v>598</v>
      </c>
      <c r="E41" s="101" t="s">
        <v>605</v>
      </c>
      <c r="F41" s="87">
        <v>5.2</v>
      </c>
      <c r="G41" s="101" t="s">
        <v>600</v>
      </c>
      <c r="H41" s="101" t="s">
        <v>553</v>
      </c>
      <c r="I41" s="101">
        <v>33035</v>
      </c>
      <c r="J41" s="87">
        <v>0.87741000000000002</v>
      </c>
      <c r="K41" s="101">
        <v>5.9</v>
      </c>
      <c r="L41" s="339">
        <v>2016</v>
      </c>
      <c r="M41" s="293" t="s">
        <v>865</v>
      </c>
      <c r="N41" s="293" t="s">
        <v>554</v>
      </c>
    </row>
    <row r="42" spans="1:14" ht="19.5" x14ac:dyDescent="0.25">
      <c r="A42" s="402"/>
      <c r="B42" s="562" t="s">
        <v>555</v>
      </c>
      <c r="C42" s="564"/>
      <c r="D42" s="169"/>
      <c r="E42" s="47"/>
      <c r="F42" s="88">
        <f>SUM(F41)</f>
        <v>5.2</v>
      </c>
      <c r="G42" s="47"/>
      <c r="H42" s="47"/>
      <c r="I42" s="47"/>
      <c r="J42" s="88">
        <f>SUM(J41)</f>
        <v>0.87741000000000002</v>
      </c>
      <c r="K42" s="47"/>
      <c r="L42" s="296"/>
      <c r="M42" s="293"/>
      <c r="N42" s="293"/>
    </row>
    <row r="43" spans="1:14" ht="72" customHeight="1" x14ac:dyDescent="0.25">
      <c r="A43" s="402">
        <v>14</v>
      </c>
      <c r="B43" s="108" t="s">
        <v>606</v>
      </c>
      <c r="C43" s="117" t="s">
        <v>607</v>
      </c>
      <c r="D43" s="117" t="s">
        <v>598</v>
      </c>
      <c r="E43" s="101" t="s">
        <v>608</v>
      </c>
      <c r="F43" s="87">
        <v>4.9485999999999999</v>
      </c>
      <c r="G43" s="101" t="s">
        <v>609</v>
      </c>
      <c r="H43" s="101" t="s">
        <v>553</v>
      </c>
      <c r="I43" s="101">
        <v>48023</v>
      </c>
      <c r="J43" s="87">
        <v>0.76195500000000005</v>
      </c>
      <c r="K43" s="101">
        <v>6.5</v>
      </c>
      <c r="L43" s="339">
        <v>2016</v>
      </c>
      <c r="M43" s="293" t="s">
        <v>1951</v>
      </c>
      <c r="N43" s="293" t="s">
        <v>554</v>
      </c>
    </row>
    <row r="44" spans="1:14" ht="19.5" x14ac:dyDescent="0.25">
      <c r="A44" s="402"/>
      <c r="B44" s="562" t="s">
        <v>555</v>
      </c>
      <c r="C44" s="564"/>
      <c r="D44" s="169"/>
      <c r="E44" s="47"/>
      <c r="F44" s="88">
        <f>SUM(F43)</f>
        <v>4.9485999999999999</v>
      </c>
      <c r="G44" s="47"/>
      <c r="H44" s="47"/>
      <c r="I44" s="47"/>
      <c r="J44" s="88">
        <f>SUM(J43)</f>
        <v>0.76195500000000005</v>
      </c>
      <c r="K44" s="47"/>
      <c r="L44" s="296"/>
      <c r="M44" s="293"/>
      <c r="N44" s="293"/>
    </row>
    <row r="45" spans="1:14" ht="60.75" customHeight="1" x14ac:dyDescent="0.25">
      <c r="A45" s="402">
        <v>15</v>
      </c>
      <c r="B45" s="108" t="s">
        <v>610</v>
      </c>
      <c r="C45" s="117" t="s">
        <v>611</v>
      </c>
      <c r="D45" s="117" t="s">
        <v>598</v>
      </c>
      <c r="E45" s="101" t="s">
        <v>551</v>
      </c>
      <c r="F45" s="87">
        <v>6.5381999999999998</v>
      </c>
      <c r="G45" s="101" t="s">
        <v>609</v>
      </c>
      <c r="H45" s="101" t="s">
        <v>553</v>
      </c>
      <c r="I45" s="101">
        <v>53347</v>
      </c>
      <c r="J45" s="87">
        <v>1.120287</v>
      </c>
      <c r="K45" s="101">
        <v>5.8</v>
      </c>
      <c r="L45" s="339">
        <v>2016</v>
      </c>
      <c r="M45" s="293" t="s">
        <v>1955</v>
      </c>
      <c r="N45" s="293" t="s">
        <v>554</v>
      </c>
    </row>
    <row r="46" spans="1:14" ht="19.5" x14ac:dyDescent="0.25">
      <c r="A46" s="402"/>
      <c r="B46" s="562" t="s">
        <v>555</v>
      </c>
      <c r="C46" s="564"/>
      <c r="D46" s="169"/>
      <c r="E46" s="47"/>
      <c r="F46" s="88">
        <f>SUM(F45)</f>
        <v>6.5381999999999998</v>
      </c>
      <c r="G46" s="47"/>
      <c r="H46" s="47"/>
      <c r="I46" s="47"/>
      <c r="J46" s="88">
        <f>SUM(J45)</f>
        <v>1.120287</v>
      </c>
      <c r="K46" s="47"/>
      <c r="L46" s="296"/>
      <c r="M46" s="293"/>
      <c r="N46" s="293"/>
    </row>
    <row r="47" spans="1:14" s="9" customFormat="1" ht="18.75" customHeight="1" x14ac:dyDescent="0.25">
      <c r="A47" s="403"/>
      <c r="B47" s="292" t="s">
        <v>612</v>
      </c>
      <c r="C47" s="41"/>
      <c r="D47" s="171"/>
      <c r="E47" s="51"/>
      <c r="F47" s="88">
        <f>F5+F13+F17+F21+F23+F25+F29+F31+F33+F36+F38+F40+F42+F44+F46</f>
        <v>400.49402789999994</v>
      </c>
      <c r="G47" s="51"/>
      <c r="H47" s="51"/>
      <c r="I47" s="51"/>
      <c r="J47" s="52">
        <f>J5+J13+J17+J21+J23+J25+J29+J31+J33+J36+J38+J40+J42+J44+J46</f>
        <v>136.93219698999997</v>
      </c>
      <c r="K47" s="51"/>
      <c r="L47" s="297"/>
      <c r="M47" s="294"/>
      <c r="N47" s="294"/>
    </row>
    <row r="48" spans="1:14" ht="51" customHeight="1" x14ac:dyDescent="0.25">
      <c r="A48" s="402">
        <v>16</v>
      </c>
      <c r="B48" s="108" t="s">
        <v>613</v>
      </c>
      <c r="C48" s="117" t="s">
        <v>614</v>
      </c>
      <c r="D48" s="117" t="s">
        <v>615</v>
      </c>
      <c r="E48" s="101" t="s">
        <v>616</v>
      </c>
      <c r="F48" s="87">
        <v>5</v>
      </c>
      <c r="G48" s="101" t="s">
        <v>617</v>
      </c>
      <c r="H48" s="101" t="s">
        <v>553</v>
      </c>
      <c r="I48" s="101">
        <v>210826.6</v>
      </c>
      <c r="J48" s="87">
        <v>3.87921</v>
      </c>
      <c r="K48" s="101">
        <v>1.3</v>
      </c>
      <c r="L48" s="339">
        <v>2017</v>
      </c>
      <c r="M48" s="293" t="s">
        <v>1144</v>
      </c>
      <c r="N48" s="293" t="s">
        <v>554</v>
      </c>
    </row>
    <row r="49" spans="1:14" ht="19.5" x14ac:dyDescent="0.25">
      <c r="A49" s="402"/>
      <c r="B49" s="562" t="s">
        <v>555</v>
      </c>
      <c r="C49" s="564"/>
      <c r="D49" s="169"/>
      <c r="E49" s="47"/>
      <c r="F49" s="88">
        <f>SUM(F48)</f>
        <v>5</v>
      </c>
      <c r="G49" s="47"/>
      <c r="H49" s="47"/>
      <c r="I49" s="47"/>
      <c r="J49" s="88">
        <f>SUM(J48)</f>
        <v>3.87921</v>
      </c>
      <c r="K49" s="47"/>
      <c r="L49" s="296"/>
      <c r="M49" s="293"/>
      <c r="N49" s="293"/>
    </row>
    <row r="50" spans="1:14" ht="51" customHeight="1" x14ac:dyDescent="0.25">
      <c r="A50" s="402">
        <v>17</v>
      </c>
      <c r="B50" s="108" t="s">
        <v>618</v>
      </c>
      <c r="C50" s="117" t="s">
        <v>619</v>
      </c>
      <c r="D50" s="117" t="s">
        <v>620</v>
      </c>
      <c r="E50" s="101" t="s">
        <v>622</v>
      </c>
      <c r="F50" s="87">
        <v>2336</v>
      </c>
      <c r="G50" s="101" t="s">
        <v>623</v>
      </c>
      <c r="H50" s="101" t="s">
        <v>553</v>
      </c>
      <c r="I50" s="101">
        <v>1869120</v>
      </c>
      <c r="J50" s="87">
        <v>33.569000000000003</v>
      </c>
      <c r="K50" s="101">
        <v>7</v>
      </c>
      <c r="L50" s="339">
        <v>2017</v>
      </c>
      <c r="M50" s="293" t="s">
        <v>1106</v>
      </c>
      <c r="N50" s="293" t="s">
        <v>554</v>
      </c>
    </row>
    <row r="51" spans="1:14" ht="19.5" x14ac:dyDescent="0.25">
      <c r="A51" s="402"/>
      <c r="B51" s="562" t="s">
        <v>555</v>
      </c>
      <c r="C51" s="564"/>
      <c r="D51" s="169"/>
      <c r="E51" s="47"/>
      <c r="F51" s="88">
        <f>SUM(F50)</f>
        <v>2336</v>
      </c>
      <c r="G51" s="47"/>
      <c r="H51" s="47"/>
      <c r="I51" s="47"/>
      <c r="J51" s="88">
        <f>SUM(J50)</f>
        <v>33.569000000000003</v>
      </c>
      <c r="K51" s="47"/>
      <c r="L51" s="296"/>
      <c r="M51" s="293"/>
      <c r="N51" s="293"/>
    </row>
    <row r="52" spans="1:14" ht="37.5" x14ac:dyDescent="0.25">
      <c r="A52" s="402">
        <v>18</v>
      </c>
      <c r="B52" s="108" t="s">
        <v>624</v>
      </c>
      <c r="C52" s="117" t="s">
        <v>625</v>
      </c>
      <c r="D52" s="117" t="s">
        <v>626</v>
      </c>
      <c r="E52" s="101" t="s">
        <v>627</v>
      </c>
      <c r="F52" s="87">
        <v>747.13499999999999</v>
      </c>
      <c r="G52" s="101" t="s">
        <v>628</v>
      </c>
      <c r="H52" s="101" t="s">
        <v>553</v>
      </c>
      <c r="I52" s="101">
        <v>43074434</v>
      </c>
      <c r="J52" s="87">
        <v>349.00099999999998</v>
      </c>
      <c r="K52" s="101">
        <v>2.2999999999999998</v>
      </c>
      <c r="L52" s="339">
        <v>2017</v>
      </c>
      <c r="M52" s="293" t="s">
        <v>1153</v>
      </c>
      <c r="N52" s="293" t="s">
        <v>554</v>
      </c>
    </row>
    <row r="53" spans="1:14" ht="19.5" x14ac:dyDescent="0.25">
      <c r="A53" s="402"/>
      <c r="B53" s="562" t="s">
        <v>555</v>
      </c>
      <c r="C53" s="564"/>
      <c r="D53" s="169"/>
      <c r="E53" s="47"/>
      <c r="F53" s="88">
        <f>SUM(F52)</f>
        <v>747.13499999999999</v>
      </c>
      <c r="G53" s="47"/>
      <c r="H53" s="47"/>
      <c r="I53" s="47"/>
      <c r="J53" s="88">
        <f>SUM(J52)</f>
        <v>349.00099999999998</v>
      </c>
      <c r="K53" s="47"/>
      <c r="L53" s="296"/>
      <c r="M53" s="293"/>
      <c r="N53" s="293"/>
    </row>
    <row r="54" spans="1:14" ht="51" customHeight="1" x14ac:dyDescent="0.25">
      <c r="A54" s="402">
        <v>19</v>
      </c>
      <c r="B54" s="108" t="s">
        <v>629</v>
      </c>
      <c r="C54" s="117" t="s">
        <v>630</v>
      </c>
      <c r="D54" s="117" t="s">
        <v>631</v>
      </c>
      <c r="E54" s="101" t="s">
        <v>627</v>
      </c>
      <c r="F54" s="87">
        <v>732.9</v>
      </c>
      <c r="G54" s="101" t="s">
        <v>623</v>
      </c>
      <c r="H54" s="101" t="s">
        <v>553</v>
      </c>
      <c r="I54" s="101">
        <v>2187132</v>
      </c>
      <c r="J54" s="87">
        <v>46.9</v>
      </c>
      <c r="K54" s="101">
        <v>15.6</v>
      </c>
      <c r="L54" s="339">
        <v>2017</v>
      </c>
      <c r="M54" s="293" t="s">
        <v>1208</v>
      </c>
      <c r="N54" s="293" t="s">
        <v>554</v>
      </c>
    </row>
    <row r="55" spans="1:14" ht="19.5" x14ac:dyDescent="0.25">
      <c r="A55" s="402"/>
      <c r="B55" s="562" t="s">
        <v>555</v>
      </c>
      <c r="C55" s="564"/>
      <c r="D55" s="169"/>
      <c r="E55" s="47"/>
      <c r="F55" s="88">
        <f>SUM(F54)</f>
        <v>732.9</v>
      </c>
      <c r="G55" s="47"/>
      <c r="H55" s="47"/>
      <c r="I55" s="47"/>
      <c r="J55" s="88">
        <f>SUM(J54)</f>
        <v>46.9</v>
      </c>
      <c r="K55" s="47"/>
      <c r="L55" s="296"/>
      <c r="M55" s="293"/>
      <c r="N55" s="293"/>
    </row>
    <row r="56" spans="1:14" ht="38.25" customHeight="1" x14ac:dyDescent="0.25">
      <c r="A56" s="402">
        <v>20</v>
      </c>
      <c r="B56" s="108" t="s">
        <v>632</v>
      </c>
      <c r="C56" s="117" t="s">
        <v>633</v>
      </c>
      <c r="D56" s="117" t="s">
        <v>631</v>
      </c>
      <c r="E56" s="101" t="s">
        <v>634</v>
      </c>
      <c r="F56" s="87">
        <v>1088</v>
      </c>
      <c r="G56" s="101" t="s">
        <v>623</v>
      </c>
      <c r="H56" s="101" t="s">
        <v>553</v>
      </c>
      <c r="I56" s="101">
        <v>8576089</v>
      </c>
      <c r="J56" s="87">
        <v>142.345</v>
      </c>
      <c r="K56" s="101">
        <v>7.6</v>
      </c>
      <c r="L56" s="339">
        <v>2017</v>
      </c>
      <c r="M56" s="293" t="s">
        <v>1208</v>
      </c>
      <c r="N56" s="293" t="s">
        <v>554</v>
      </c>
    </row>
    <row r="57" spans="1:14" ht="19.5" x14ac:dyDescent="0.25">
      <c r="A57" s="402"/>
      <c r="B57" s="562" t="s">
        <v>555</v>
      </c>
      <c r="C57" s="564"/>
      <c r="D57" s="169"/>
      <c r="E57" s="47"/>
      <c r="F57" s="88">
        <f>SUM(F56)</f>
        <v>1088</v>
      </c>
      <c r="G57" s="47"/>
      <c r="H57" s="47"/>
      <c r="I57" s="47"/>
      <c r="J57" s="88">
        <f>SUM(J56)</f>
        <v>142.345</v>
      </c>
      <c r="K57" s="47"/>
      <c r="L57" s="296"/>
      <c r="M57" s="293"/>
      <c r="N57" s="293"/>
    </row>
    <row r="58" spans="1:14" ht="25.5" customHeight="1" x14ac:dyDescent="0.25">
      <c r="A58" s="402">
        <v>21</v>
      </c>
      <c r="B58" s="108" t="s">
        <v>635</v>
      </c>
      <c r="C58" s="117" t="s">
        <v>636</v>
      </c>
      <c r="D58" s="117" t="s">
        <v>637</v>
      </c>
      <c r="E58" s="101" t="s">
        <v>638</v>
      </c>
      <c r="F58" s="87">
        <v>14.5</v>
      </c>
      <c r="G58" s="101" t="s">
        <v>1971</v>
      </c>
      <c r="H58" s="101" t="s">
        <v>553</v>
      </c>
      <c r="I58" s="101">
        <v>962022</v>
      </c>
      <c r="J58" s="87">
        <v>14.670999999999999</v>
      </c>
      <c r="K58" s="101">
        <v>1</v>
      </c>
      <c r="L58" s="339">
        <v>2017</v>
      </c>
      <c r="M58" s="293" t="s">
        <v>1144</v>
      </c>
      <c r="N58" s="293" t="s">
        <v>554</v>
      </c>
    </row>
    <row r="59" spans="1:14" ht="19.5" x14ac:dyDescent="0.25">
      <c r="A59" s="402"/>
      <c r="B59" s="562" t="s">
        <v>555</v>
      </c>
      <c r="C59" s="564"/>
      <c r="D59" s="169"/>
      <c r="E59" s="47"/>
      <c r="F59" s="88">
        <f>SUM(F58)</f>
        <v>14.5</v>
      </c>
      <c r="G59" s="47"/>
      <c r="H59" s="47"/>
      <c r="I59" s="47"/>
      <c r="J59" s="88">
        <f>SUM(J58)</f>
        <v>14.670999999999999</v>
      </c>
      <c r="K59" s="47"/>
      <c r="L59" s="296"/>
      <c r="M59" s="293"/>
      <c r="N59" s="293"/>
    </row>
    <row r="60" spans="1:14" ht="37.5" x14ac:dyDescent="0.25">
      <c r="A60" s="402">
        <v>22</v>
      </c>
      <c r="B60" s="108" t="s">
        <v>639</v>
      </c>
      <c r="C60" s="117" t="s">
        <v>640</v>
      </c>
      <c r="D60" s="117" t="s">
        <v>641</v>
      </c>
      <c r="E60" s="101" t="s">
        <v>642</v>
      </c>
      <c r="F60" s="87">
        <v>2.2080000000000002</v>
      </c>
      <c r="G60" s="101" t="s">
        <v>1971</v>
      </c>
      <c r="H60" s="101" t="s">
        <v>553</v>
      </c>
      <c r="I60" s="101">
        <v>91214</v>
      </c>
      <c r="J60" s="87">
        <v>1.7359089999999999</v>
      </c>
      <c r="K60" s="101">
        <v>1.3</v>
      </c>
      <c r="L60" s="339">
        <v>2017</v>
      </c>
      <c r="M60" s="293" t="s">
        <v>1144</v>
      </c>
      <c r="N60" s="293" t="s">
        <v>554</v>
      </c>
    </row>
    <row r="61" spans="1:14" ht="19.5" x14ac:dyDescent="0.25">
      <c r="A61" s="402"/>
      <c r="B61" s="562" t="s">
        <v>555</v>
      </c>
      <c r="C61" s="564"/>
      <c r="D61" s="169"/>
      <c r="E61" s="47"/>
      <c r="F61" s="88">
        <f>SUM(F60)</f>
        <v>2.2080000000000002</v>
      </c>
      <c r="G61" s="47"/>
      <c r="H61" s="47"/>
      <c r="I61" s="47"/>
      <c r="J61" s="88">
        <f>SUM(J60)</f>
        <v>1.7359089999999999</v>
      </c>
      <c r="K61" s="47"/>
      <c r="L61" s="296"/>
      <c r="M61" s="293"/>
      <c r="N61" s="293"/>
    </row>
    <row r="62" spans="1:14" ht="18.75" x14ac:dyDescent="0.25">
      <c r="A62" s="402">
        <v>23</v>
      </c>
      <c r="B62" s="108" t="s">
        <v>643</v>
      </c>
      <c r="C62" s="117" t="s">
        <v>644</v>
      </c>
      <c r="D62" s="117" t="s">
        <v>645</v>
      </c>
      <c r="E62" s="101" t="s">
        <v>643</v>
      </c>
      <c r="F62" s="87">
        <v>5.3470000000000004</v>
      </c>
      <c r="G62" s="101" t="s">
        <v>1971</v>
      </c>
      <c r="H62" s="101" t="s">
        <v>553</v>
      </c>
      <c r="I62" s="101">
        <v>190807</v>
      </c>
      <c r="J62" s="87">
        <v>3.434526</v>
      </c>
      <c r="K62" s="101">
        <v>1.6</v>
      </c>
      <c r="L62" s="339">
        <v>2017</v>
      </c>
      <c r="M62" s="293" t="s">
        <v>1834</v>
      </c>
      <c r="N62" s="293" t="s">
        <v>554</v>
      </c>
    </row>
    <row r="63" spans="1:14" ht="19.5" x14ac:dyDescent="0.25">
      <c r="A63" s="402"/>
      <c r="B63" s="562" t="s">
        <v>555</v>
      </c>
      <c r="C63" s="564"/>
      <c r="D63" s="169"/>
      <c r="E63" s="47"/>
      <c r="F63" s="88">
        <f>SUM(F62)</f>
        <v>5.3470000000000004</v>
      </c>
      <c r="G63" s="47"/>
      <c r="H63" s="47"/>
      <c r="I63" s="47"/>
      <c r="J63" s="88">
        <f>SUM(J62)</f>
        <v>3.434526</v>
      </c>
      <c r="K63" s="47"/>
      <c r="L63" s="296"/>
      <c r="M63" s="293"/>
      <c r="N63" s="293"/>
    </row>
    <row r="64" spans="1:14" ht="25.5" customHeight="1" x14ac:dyDescent="0.25">
      <c r="A64" s="584">
        <v>24</v>
      </c>
      <c r="B64" s="452" t="s">
        <v>646</v>
      </c>
      <c r="C64" s="439" t="s">
        <v>647</v>
      </c>
      <c r="D64" s="117" t="s">
        <v>648</v>
      </c>
      <c r="E64" s="449" t="s">
        <v>646</v>
      </c>
      <c r="F64" s="87">
        <v>10.510999999999999</v>
      </c>
      <c r="G64" s="427" t="s">
        <v>1971</v>
      </c>
      <c r="H64" s="101" t="s">
        <v>553</v>
      </c>
      <c r="I64" s="101">
        <v>171733</v>
      </c>
      <c r="J64" s="87">
        <v>3.28</v>
      </c>
      <c r="K64" s="101">
        <v>3.2</v>
      </c>
      <c r="L64" s="585">
        <v>2017</v>
      </c>
      <c r="M64" s="576" t="s">
        <v>863</v>
      </c>
      <c r="N64" s="576" t="s">
        <v>554</v>
      </c>
    </row>
    <row r="65" spans="1:14" ht="25.5" customHeight="1" x14ac:dyDescent="0.25">
      <c r="A65" s="584"/>
      <c r="B65" s="571"/>
      <c r="C65" s="439"/>
      <c r="D65" s="117" t="s">
        <v>649</v>
      </c>
      <c r="E65" s="490"/>
      <c r="F65" s="87">
        <v>1.8680000000000001</v>
      </c>
      <c r="G65" s="427"/>
      <c r="H65" s="101" t="s">
        <v>553</v>
      </c>
      <c r="I65" s="101">
        <v>17930</v>
      </c>
      <c r="J65" s="87">
        <v>0.33900000000000002</v>
      </c>
      <c r="K65" s="101">
        <v>5.5</v>
      </c>
      <c r="L65" s="585"/>
      <c r="M65" s="580"/>
      <c r="N65" s="580"/>
    </row>
    <row r="66" spans="1:14" ht="56.25" customHeight="1" x14ac:dyDescent="0.25">
      <c r="A66" s="584"/>
      <c r="B66" s="571"/>
      <c r="C66" s="439"/>
      <c r="D66" s="117" t="s">
        <v>650</v>
      </c>
      <c r="E66" s="490"/>
      <c r="F66" s="87">
        <v>3.96</v>
      </c>
      <c r="G66" s="427"/>
      <c r="H66" s="101" t="s">
        <v>553</v>
      </c>
      <c r="I66" s="101">
        <v>61290</v>
      </c>
      <c r="J66" s="87">
        <v>1.1599999999999999</v>
      </c>
      <c r="K66" s="101">
        <v>3.4</v>
      </c>
      <c r="L66" s="585"/>
      <c r="M66" s="580"/>
      <c r="N66" s="580"/>
    </row>
    <row r="67" spans="1:14" ht="18.75" x14ac:dyDescent="0.25">
      <c r="A67" s="584"/>
      <c r="B67" s="434"/>
      <c r="C67" s="439"/>
      <c r="D67" s="117" t="s">
        <v>651</v>
      </c>
      <c r="E67" s="433"/>
      <c r="F67" s="87">
        <v>0.307</v>
      </c>
      <c r="G67" s="427"/>
      <c r="H67" s="101" t="s">
        <v>553</v>
      </c>
      <c r="I67" s="101">
        <v>67313</v>
      </c>
      <c r="J67" s="87">
        <v>1.5349999999999999</v>
      </c>
      <c r="K67" s="101">
        <v>0.2</v>
      </c>
      <c r="L67" s="585"/>
      <c r="M67" s="577"/>
      <c r="N67" s="577"/>
    </row>
    <row r="68" spans="1:14" ht="19.5" x14ac:dyDescent="0.25">
      <c r="A68" s="402"/>
      <c r="B68" s="562" t="s">
        <v>555</v>
      </c>
      <c r="C68" s="564"/>
      <c r="D68" s="169"/>
      <c r="E68" s="47"/>
      <c r="F68" s="88">
        <f>SUM(F64:F67)</f>
        <v>16.645999999999997</v>
      </c>
      <c r="G68" s="47"/>
      <c r="H68" s="47"/>
      <c r="I68" s="47"/>
      <c r="J68" s="88">
        <f>SUM(J64:J67)</f>
        <v>6.3140000000000001</v>
      </c>
      <c r="K68" s="47"/>
      <c r="L68" s="296"/>
      <c r="M68" s="293"/>
      <c r="N68" s="293"/>
    </row>
    <row r="69" spans="1:14" ht="18.75" x14ac:dyDescent="0.25">
      <c r="A69" s="584">
        <v>25</v>
      </c>
      <c r="B69" s="452" t="s">
        <v>652</v>
      </c>
      <c r="C69" s="439" t="s">
        <v>653</v>
      </c>
      <c r="D69" s="117" t="s">
        <v>654</v>
      </c>
      <c r="E69" s="449" t="s">
        <v>652</v>
      </c>
      <c r="F69" s="87">
        <v>13.2</v>
      </c>
      <c r="G69" s="427" t="s">
        <v>1971</v>
      </c>
      <c r="H69" s="101" t="s">
        <v>37</v>
      </c>
      <c r="I69" s="101">
        <v>4447.55</v>
      </c>
      <c r="J69" s="87">
        <v>4.46</v>
      </c>
      <c r="K69" s="101">
        <v>4</v>
      </c>
      <c r="L69" s="585">
        <v>2017</v>
      </c>
      <c r="M69" s="576" t="s">
        <v>1106</v>
      </c>
      <c r="N69" s="576" t="s">
        <v>554</v>
      </c>
    </row>
    <row r="70" spans="1:14" ht="25.5" customHeight="1" x14ac:dyDescent="0.25">
      <c r="A70" s="584"/>
      <c r="B70" s="571"/>
      <c r="C70" s="439"/>
      <c r="D70" s="117" t="s">
        <v>655</v>
      </c>
      <c r="E70" s="490"/>
      <c r="F70" s="87">
        <v>53.5</v>
      </c>
      <c r="G70" s="427"/>
      <c r="H70" s="101" t="s">
        <v>553</v>
      </c>
      <c r="I70" s="101">
        <v>3073170</v>
      </c>
      <c r="J70" s="87">
        <v>15.1</v>
      </c>
      <c r="K70" s="101">
        <v>4</v>
      </c>
      <c r="L70" s="585"/>
      <c r="M70" s="580"/>
      <c r="N70" s="580"/>
    </row>
    <row r="71" spans="1:14" ht="25.5" customHeight="1" x14ac:dyDescent="0.25">
      <c r="A71" s="584"/>
      <c r="B71" s="571"/>
      <c r="C71" s="439"/>
      <c r="D71" s="117" t="s">
        <v>656</v>
      </c>
      <c r="E71" s="490"/>
      <c r="F71" s="87">
        <v>1.2</v>
      </c>
      <c r="G71" s="427"/>
      <c r="H71" s="101" t="s">
        <v>553</v>
      </c>
      <c r="I71" s="101">
        <v>298373.98</v>
      </c>
      <c r="J71" s="87">
        <v>2.14</v>
      </c>
      <c r="K71" s="101">
        <v>1</v>
      </c>
      <c r="L71" s="585"/>
      <c r="M71" s="580"/>
      <c r="N71" s="580"/>
    </row>
    <row r="72" spans="1:14" ht="25.5" customHeight="1" x14ac:dyDescent="0.25">
      <c r="A72" s="584"/>
      <c r="B72" s="434"/>
      <c r="C72" s="439"/>
      <c r="D72" s="117" t="s">
        <v>657</v>
      </c>
      <c r="E72" s="433"/>
      <c r="F72" s="87">
        <v>3.84</v>
      </c>
      <c r="G72" s="427"/>
      <c r="H72" s="101" t="s">
        <v>37</v>
      </c>
      <c r="I72" s="101">
        <v>352.44</v>
      </c>
      <c r="J72" s="87">
        <v>2.72</v>
      </c>
      <c r="K72" s="101">
        <v>2</v>
      </c>
      <c r="L72" s="585"/>
      <c r="M72" s="577"/>
      <c r="N72" s="577"/>
    </row>
    <row r="73" spans="1:14" ht="19.5" x14ac:dyDescent="0.25">
      <c r="A73" s="402"/>
      <c r="B73" s="562" t="s">
        <v>555</v>
      </c>
      <c r="C73" s="564"/>
      <c r="D73" s="169"/>
      <c r="E73" s="47"/>
      <c r="F73" s="88">
        <f>SUM(F69:F72)</f>
        <v>71.740000000000009</v>
      </c>
      <c r="G73" s="47"/>
      <c r="H73" s="47"/>
      <c r="I73" s="47"/>
      <c r="J73" s="88">
        <f>SUM(J69:J72)</f>
        <v>24.419999999999998</v>
      </c>
      <c r="K73" s="47"/>
      <c r="L73" s="296"/>
      <c r="M73" s="293"/>
      <c r="N73" s="293"/>
    </row>
    <row r="74" spans="1:14" ht="25.5" customHeight="1" x14ac:dyDescent="0.25">
      <c r="A74" s="584">
        <v>26</v>
      </c>
      <c r="B74" s="452" t="s">
        <v>658</v>
      </c>
      <c r="C74" s="439" t="s">
        <v>659</v>
      </c>
      <c r="D74" s="117" t="s">
        <v>660</v>
      </c>
      <c r="E74" s="449" t="s">
        <v>658</v>
      </c>
      <c r="F74" s="87">
        <v>10.46</v>
      </c>
      <c r="G74" s="427" t="s">
        <v>1971</v>
      </c>
      <c r="H74" s="101" t="s">
        <v>553</v>
      </c>
      <c r="I74" s="101">
        <v>85191</v>
      </c>
      <c r="J74" s="87">
        <v>1.3387</v>
      </c>
      <c r="K74" s="101">
        <v>9.6</v>
      </c>
      <c r="L74" s="585">
        <v>2017</v>
      </c>
      <c r="M74" s="576" t="s">
        <v>865</v>
      </c>
      <c r="N74" s="576" t="s">
        <v>554</v>
      </c>
    </row>
    <row r="75" spans="1:14" ht="37.5" x14ac:dyDescent="0.25">
      <c r="A75" s="584"/>
      <c r="B75" s="434"/>
      <c r="C75" s="439"/>
      <c r="D75" s="117" t="s">
        <v>661</v>
      </c>
      <c r="E75" s="433"/>
      <c r="F75" s="87">
        <v>3.6</v>
      </c>
      <c r="G75" s="427"/>
      <c r="H75" s="101" t="s">
        <v>553</v>
      </c>
      <c r="I75" s="101">
        <v>19447</v>
      </c>
      <c r="J75" s="87">
        <v>0.30559999999999998</v>
      </c>
      <c r="K75" s="101">
        <v>11.8</v>
      </c>
      <c r="L75" s="585"/>
      <c r="M75" s="577"/>
      <c r="N75" s="577"/>
    </row>
    <row r="76" spans="1:14" ht="19.5" x14ac:dyDescent="0.25">
      <c r="A76" s="402"/>
      <c r="B76" s="562" t="s">
        <v>555</v>
      </c>
      <c r="C76" s="564"/>
      <c r="D76" s="169"/>
      <c r="E76" s="47"/>
      <c r="F76" s="88">
        <f>SUM(F74:F75)</f>
        <v>14.06</v>
      </c>
      <c r="G76" s="47"/>
      <c r="H76" s="47"/>
      <c r="I76" s="47"/>
      <c r="J76" s="88">
        <f>SUM(J74:J75)</f>
        <v>1.6442999999999999</v>
      </c>
      <c r="K76" s="47"/>
      <c r="L76" s="296"/>
      <c r="M76" s="293"/>
      <c r="N76" s="293"/>
    </row>
    <row r="77" spans="1:14" ht="18.75" x14ac:dyDescent="0.25">
      <c r="A77" s="584">
        <v>27</v>
      </c>
      <c r="B77" s="452" t="s">
        <v>662</v>
      </c>
      <c r="C77" s="439" t="s">
        <v>663</v>
      </c>
      <c r="D77" s="117" t="s">
        <v>664</v>
      </c>
      <c r="E77" s="449" t="s">
        <v>662</v>
      </c>
      <c r="F77" s="87">
        <v>13.9</v>
      </c>
      <c r="G77" s="427" t="s">
        <v>1971</v>
      </c>
      <c r="H77" s="101" t="s">
        <v>553</v>
      </c>
      <c r="I77" s="101">
        <v>283659</v>
      </c>
      <c r="J77" s="87">
        <v>4.2549000000000001</v>
      </c>
      <c r="K77" s="101">
        <v>3.3</v>
      </c>
      <c r="L77" s="585">
        <v>2017</v>
      </c>
      <c r="M77" s="576" t="s">
        <v>863</v>
      </c>
      <c r="N77" s="576" t="s">
        <v>554</v>
      </c>
    </row>
    <row r="78" spans="1:14" ht="18.75" x14ac:dyDescent="0.25">
      <c r="A78" s="584"/>
      <c r="B78" s="434"/>
      <c r="C78" s="439"/>
      <c r="D78" s="117" t="s">
        <v>665</v>
      </c>
      <c r="E78" s="433"/>
      <c r="F78" s="87">
        <v>0.95</v>
      </c>
      <c r="G78" s="427"/>
      <c r="H78" s="101" t="s">
        <v>553</v>
      </c>
      <c r="I78" s="101">
        <v>1223665</v>
      </c>
      <c r="J78" s="87">
        <v>1.8354999999999999</v>
      </c>
      <c r="K78" s="101">
        <v>1</v>
      </c>
      <c r="L78" s="585"/>
      <c r="M78" s="577"/>
      <c r="N78" s="577"/>
    </row>
    <row r="79" spans="1:14" ht="19.5" x14ac:dyDescent="0.25">
      <c r="A79" s="402"/>
      <c r="B79" s="562" t="s">
        <v>555</v>
      </c>
      <c r="C79" s="564"/>
      <c r="D79" s="169"/>
      <c r="E79" s="47"/>
      <c r="F79" s="88">
        <f>SUM(F77:F78)</f>
        <v>14.85</v>
      </c>
      <c r="G79" s="47"/>
      <c r="H79" s="47"/>
      <c r="I79" s="47"/>
      <c r="J79" s="88">
        <f>SUM(J77:J78)</f>
        <v>6.0903999999999998</v>
      </c>
      <c r="K79" s="47"/>
      <c r="L79" s="296"/>
      <c r="M79" s="293"/>
      <c r="N79" s="293"/>
    </row>
    <row r="80" spans="1:14" ht="37.5" x14ac:dyDescent="0.25">
      <c r="A80" s="402">
        <v>28</v>
      </c>
      <c r="B80" s="108" t="s">
        <v>666</v>
      </c>
      <c r="C80" s="117" t="s">
        <v>667</v>
      </c>
      <c r="D80" s="117" t="s">
        <v>668</v>
      </c>
      <c r="E80" s="101" t="s">
        <v>666</v>
      </c>
      <c r="F80" s="87">
        <v>40.921999999999997</v>
      </c>
      <c r="G80" s="101" t="s">
        <v>1971</v>
      </c>
      <c r="H80" s="101" t="s">
        <v>1958</v>
      </c>
      <c r="I80" s="101">
        <v>428.81</v>
      </c>
      <c r="J80" s="87">
        <v>3.5529999999999999</v>
      </c>
      <c r="K80" s="101">
        <v>11.5</v>
      </c>
      <c r="L80" s="339">
        <v>2017</v>
      </c>
      <c r="M80" s="293" t="s">
        <v>1955</v>
      </c>
      <c r="N80" s="293" t="s">
        <v>554</v>
      </c>
    </row>
    <row r="81" spans="1:14" ht="19.5" x14ac:dyDescent="0.25">
      <c r="A81" s="402"/>
      <c r="B81" s="562" t="s">
        <v>555</v>
      </c>
      <c r="C81" s="564"/>
      <c r="D81" s="169"/>
      <c r="E81" s="47"/>
      <c r="F81" s="88">
        <f>SUM(F80)</f>
        <v>40.921999999999997</v>
      </c>
      <c r="G81" s="47"/>
      <c r="H81" s="47"/>
      <c r="I81" s="47"/>
      <c r="J81" s="88">
        <f>SUM(J80)</f>
        <v>3.5529999999999999</v>
      </c>
      <c r="K81" s="47"/>
      <c r="L81" s="296"/>
      <c r="M81" s="293"/>
      <c r="N81" s="293"/>
    </row>
    <row r="82" spans="1:14" ht="23.25" customHeight="1" x14ac:dyDescent="0.25">
      <c r="A82" s="402">
        <v>29</v>
      </c>
      <c r="B82" s="108" t="s">
        <v>669</v>
      </c>
      <c r="C82" s="117" t="s">
        <v>670</v>
      </c>
      <c r="D82" s="117" t="s">
        <v>671</v>
      </c>
      <c r="E82" s="101" t="s">
        <v>669</v>
      </c>
      <c r="F82" s="87">
        <v>15.134</v>
      </c>
      <c r="G82" s="101" t="s">
        <v>1971</v>
      </c>
      <c r="H82" s="101" t="s">
        <v>553</v>
      </c>
      <c r="I82" s="101">
        <v>218630</v>
      </c>
      <c r="J82" s="87">
        <v>2.7240000000000002</v>
      </c>
      <c r="K82" s="101">
        <v>5.6</v>
      </c>
      <c r="L82" s="339">
        <v>2017</v>
      </c>
      <c r="M82" s="335" t="s">
        <v>865</v>
      </c>
      <c r="N82" s="293" t="s">
        <v>554</v>
      </c>
    </row>
    <row r="83" spans="1:14" ht="19.5" x14ac:dyDescent="0.25">
      <c r="A83" s="402"/>
      <c r="B83" s="562" t="s">
        <v>555</v>
      </c>
      <c r="C83" s="564"/>
      <c r="D83" s="169"/>
      <c r="E83" s="47"/>
      <c r="F83" s="88">
        <f>SUM(F82)</f>
        <v>15.134</v>
      </c>
      <c r="G83" s="47"/>
      <c r="H83" s="47"/>
      <c r="I83" s="47"/>
      <c r="J83" s="88">
        <f>SUM(J82)</f>
        <v>2.7240000000000002</v>
      </c>
      <c r="K83" s="47"/>
      <c r="L83" s="296"/>
      <c r="M83" s="336"/>
      <c r="N83" s="293"/>
    </row>
    <row r="84" spans="1:14" ht="18.75" x14ac:dyDescent="0.25">
      <c r="A84" s="402">
        <v>30</v>
      </c>
      <c r="B84" s="108" t="s">
        <v>672</v>
      </c>
      <c r="C84" s="117" t="s">
        <v>673</v>
      </c>
      <c r="D84" s="117" t="s">
        <v>674</v>
      </c>
      <c r="E84" s="101" t="s">
        <v>672</v>
      </c>
      <c r="F84" s="87">
        <v>20.2</v>
      </c>
      <c r="G84" s="101" t="s">
        <v>1971</v>
      </c>
      <c r="H84" s="101" t="s">
        <v>1959</v>
      </c>
      <c r="I84" s="101">
        <v>9596</v>
      </c>
      <c r="J84" s="87">
        <f>226909/1000</f>
        <v>226.90899999999999</v>
      </c>
      <c r="K84" s="101">
        <v>1.1000000000000001</v>
      </c>
      <c r="L84" s="339">
        <v>2017</v>
      </c>
      <c r="M84" s="293" t="s">
        <v>861</v>
      </c>
      <c r="N84" s="293" t="s">
        <v>554</v>
      </c>
    </row>
    <row r="85" spans="1:14" ht="19.5" x14ac:dyDescent="0.25">
      <c r="A85" s="402"/>
      <c r="B85" s="562" t="s">
        <v>555</v>
      </c>
      <c r="C85" s="564"/>
      <c r="D85" s="169"/>
      <c r="E85" s="47"/>
      <c r="F85" s="88">
        <f>SUM(F84)</f>
        <v>20.2</v>
      </c>
      <c r="G85" s="47"/>
      <c r="H85" s="47"/>
      <c r="I85" s="47"/>
      <c r="J85" s="88">
        <f>SUM(J84)</f>
        <v>226.90899999999999</v>
      </c>
      <c r="K85" s="47"/>
      <c r="L85" s="296"/>
      <c r="M85" s="293"/>
      <c r="N85" s="293"/>
    </row>
    <row r="86" spans="1:14" ht="18.75" x14ac:dyDescent="0.25">
      <c r="A86" s="584">
        <v>31</v>
      </c>
      <c r="B86" s="452" t="s">
        <v>675</v>
      </c>
      <c r="C86" s="439" t="s">
        <v>676</v>
      </c>
      <c r="D86" s="117" t="s">
        <v>677</v>
      </c>
      <c r="E86" s="449" t="s">
        <v>675</v>
      </c>
      <c r="F86" s="87">
        <v>69.521000000000001</v>
      </c>
      <c r="G86" s="427" t="s">
        <v>1971</v>
      </c>
      <c r="H86" s="101" t="s">
        <v>553</v>
      </c>
      <c r="I86" s="101">
        <v>956181</v>
      </c>
      <c r="J86" s="87">
        <v>18.071999999999999</v>
      </c>
      <c r="K86" s="101">
        <v>3.8</v>
      </c>
      <c r="L86" s="585">
        <v>2017</v>
      </c>
      <c r="M86" s="576" t="s">
        <v>1106</v>
      </c>
      <c r="N86" s="576" t="s">
        <v>554</v>
      </c>
    </row>
    <row r="87" spans="1:14" ht="37.5" x14ac:dyDescent="0.25">
      <c r="A87" s="584"/>
      <c r="B87" s="434"/>
      <c r="C87" s="439"/>
      <c r="D87" s="117" t="s">
        <v>678</v>
      </c>
      <c r="E87" s="433"/>
      <c r="F87" s="87">
        <v>0.1792</v>
      </c>
      <c r="G87" s="427"/>
      <c r="H87" s="101" t="s">
        <v>553</v>
      </c>
      <c r="I87" s="101">
        <v>20780</v>
      </c>
      <c r="J87" s="87">
        <v>0.33600000000000002</v>
      </c>
      <c r="K87" s="101">
        <v>0.5</v>
      </c>
      <c r="L87" s="585"/>
      <c r="M87" s="577"/>
      <c r="N87" s="577"/>
    </row>
    <row r="88" spans="1:14" ht="19.5" x14ac:dyDescent="0.25">
      <c r="A88" s="402"/>
      <c r="B88" s="562" t="s">
        <v>555</v>
      </c>
      <c r="C88" s="564"/>
      <c r="D88" s="169"/>
      <c r="E88" s="47"/>
      <c r="F88" s="88">
        <f>SUM(F86:F87)</f>
        <v>69.700199999999995</v>
      </c>
      <c r="G88" s="47"/>
      <c r="H88" s="47"/>
      <c r="I88" s="47"/>
      <c r="J88" s="88">
        <f>SUM(J86:J87)</f>
        <v>18.407999999999998</v>
      </c>
      <c r="K88" s="47"/>
      <c r="L88" s="296"/>
      <c r="M88" s="293"/>
      <c r="N88" s="293"/>
    </row>
    <row r="89" spans="1:14" ht="18.75" x14ac:dyDescent="0.25">
      <c r="A89" s="584">
        <v>32</v>
      </c>
      <c r="B89" s="452" t="s">
        <v>679</v>
      </c>
      <c r="C89" s="439" t="s">
        <v>680</v>
      </c>
      <c r="D89" s="117" t="s">
        <v>681</v>
      </c>
      <c r="E89" s="449" t="s">
        <v>1975</v>
      </c>
      <c r="F89" s="87">
        <v>98.63</v>
      </c>
      <c r="G89" s="427" t="s">
        <v>1971</v>
      </c>
      <c r="H89" s="101" t="s">
        <v>553</v>
      </c>
      <c r="I89" s="101">
        <v>91377</v>
      </c>
      <c r="J89" s="87">
        <v>1.641</v>
      </c>
      <c r="K89" s="101">
        <v>0</v>
      </c>
      <c r="L89" s="585">
        <v>2017</v>
      </c>
      <c r="M89" s="576" t="s">
        <v>1106</v>
      </c>
      <c r="N89" s="576" t="s">
        <v>554</v>
      </c>
    </row>
    <row r="90" spans="1:14" ht="38.25" customHeight="1" x14ac:dyDescent="0.25">
      <c r="A90" s="584"/>
      <c r="B90" s="434"/>
      <c r="C90" s="439"/>
      <c r="D90" s="117" t="s">
        <v>682</v>
      </c>
      <c r="E90" s="433"/>
      <c r="F90" s="87">
        <v>52.08</v>
      </c>
      <c r="G90" s="427"/>
      <c r="H90" s="101" t="s">
        <v>37</v>
      </c>
      <c r="I90" s="101">
        <v>12564</v>
      </c>
      <c r="J90" s="87">
        <v>20.297999999999998</v>
      </c>
      <c r="K90" s="101">
        <v>2.6</v>
      </c>
      <c r="L90" s="585"/>
      <c r="M90" s="577"/>
      <c r="N90" s="577"/>
    </row>
    <row r="91" spans="1:14" ht="19.5" x14ac:dyDescent="0.25">
      <c r="A91" s="402"/>
      <c r="B91" s="562" t="s">
        <v>555</v>
      </c>
      <c r="C91" s="564"/>
      <c r="D91" s="169"/>
      <c r="E91" s="47"/>
      <c r="F91" s="88">
        <f>SUM(F89:F90)</f>
        <v>150.70999999999998</v>
      </c>
      <c r="G91" s="47"/>
      <c r="H91" s="47"/>
      <c r="I91" s="47"/>
      <c r="J91" s="88">
        <f>SUM(J89:J90)</f>
        <v>21.939</v>
      </c>
      <c r="K91" s="47"/>
      <c r="L91" s="296"/>
      <c r="M91" s="293"/>
      <c r="N91" s="293"/>
    </row>
    <row r="92" spans="1:14" ht="18.75" x14ac:dyDescent="0.25">
      <c r="A92" s="584">
        <v>33</v>
      </c>
      <c r="B92" s="452" t="s">
        <v>683</v>
      </c>
      <c r="C92" s="439" t="s">
        <v>684</v>
      </c>
      <c r="D92" s="117" t="s">
        <v>685</v>
      </c>
      <c r="E92" s="449" t="s">
        <v>683</v>
      </c>
      <c r="F92" s="87">
        <v>42</v>
      </c>
      <c r="G92" s="427" t="s">
        <v>1971</v>
      </c>
      <c r="H92" s="101" t="s">
        <v>553</v>
      </c>
      <c r="I92" s="101">
        <v>1824000</v>
      </c>
      <c r="J92" s="87">
        <v>13.68</v>
      </c>
      <c r="K92" s="101">
        <v>3</v>
      </c>
      <c r="L92" s="585">
        <v>2017</v>
      </c>
      <c r="M92" s="576" t="s">
        <v>1834</v>
      </c>
      <c r="N92" s="576" t="s">
        <v>554</v>
      </c>
    </row>
    <row r="93" spans="1:14" ht="71.25" customHeight="1" x14ac:dyDescent="0.25">
      <c r="A93" s="584"/>
      <c r="B93" s="434"/>
      <c r="C93" s="439"/>
      <c r="D93" s="117" t="s">
        <v>682</v>
      </c>
      <c r="E93" s="433"/>
      <c r="F93" s="87">
        <v>24.1</v>
      </c>
      <c r="G93" s="427"/>
      <c r="H93" s="101" t="s">
        <v>37</v>
      </c>
      <c r="I93" s="101">
        <v>3832</v>
      </c>
      <c r="J93" s="87">
        <v>5.6867000000000001</v>
      </c>
      <c r="K93" s="101">
        <v>4.2</v>
      </c>
      <c r="L93" s="585"/>
      <c r="M93" s="577"/>
      <c r="N93" s="577"/>
    </row>
    <row r="94" spans="1:14" ht="19.5" x14ac:dyDescent="0.25">
      <c r="A94" s="402"/>
      <c r="B94" s="562" t="s">
        <v>555</v>
      </c>
      <c r="C94" s="564"/>
      <c r="D94" s="169"/>
      <c r="E94" s="47"/>
      <c r="F94" s="88">
        <f>SUM(F92:F93)</f>
        <v>66.099999999999994</v>
      </c>
      <c r="G94" s="47"/>
      <c r="H94" s="47"/>
      <c r="I94" s="47"/>
      <c r="J94" s="88">
        <f>SUM(J92:J93)</f>
        <v>19.366700000000002</v>
      </c>
      <c r="K94" s="47"/>
      <c r="L94" s="296"/>
      <c r="M94" s="293"/>
      <c r="N94" s="293"/>
    </row>
    <row r="95" spans="1:14" ht="18.75" x14ac:dyDescent="0.25">
      <c r="A95" s="402">
        <v>34</v>
      </c>
      <c r="B95" s="108" t="s">
        <v>686</v>
      </c>
      <c r="C95" s="117" t="s">
        <v>687</v>
      </c>
      <c r="D95" s="117" t="s">
        <v>688</v>
      </c>
      <c r="E95" s="101" t="s">
        <v>686</v>
      </c>
      <c r="F95" s="89">
        <v>3.75</v>
      </c>
      <c r="G95" s="101" t="s">
        <v>1971</v>
      </c>
      <c r="H95" s="101" t="s">
        <v>553</v>
      </c>
      <c r="I95" s="101">
        <v>340200</v>
      </c>
      <c r="J95" s="87">
        <v>4.7628000000000004</v>
      </c>
      <c r="K95" s="101">
        <v>0.8</v>
      </c>
      <c r="L95" s="339">
        <v>2017</v>
      </c>
      <c r="M95" s="293" t="s">
        <v>1144</v>
      </c>
      <c r="N95" s="293" t="s">
        <v>554</v>
      </c>
    </row>
    <row r="96" spans="1:14" ht="19.5" x14ac:dyDescent="0.25">
      <c r="A96" s="402"/>
      <c r="B96" s="562" t="s">
        <v>555</v>
      </c>
      <c r="C96" s="564"/>
      <c r="D96" s="169"/>
      <c r="E96" s="47"/>
      <c r="F96" s="92">
        <f>SUM(F95)</f>
        <v>3.75</v>
      </c>
      <c r="G96" s="47"/>
      <c r="H96" s="47"/>
      <c r="I96" s="47"/>
      <c r="J96" s="88">
        <f>SUM(J95)</f>
        <v>4.7628000000000004</v>
      </c>
      <c r="K96" s="47"/>
      <c r="L96" s="296"/>
      <c r="M96" s="293"/>
      <c r="N96" s="293"/>
    </row>
    <row r="97" spans="1:14" ht="36" customHeight="1" x14ac:dyDescent="0.25">
      <c r="A97" s="402">
        <v>35</v>
      </c>
      <c r="B97" s="108" t="s">
        <v>689</v>
      </c>
      <c r="C97" s="117" t="s">
        <v>690</v>
      </c>
      <c r="D97" s="117" t="s">
        <v>691</v>
      </c>
      <c r="E97" s="101" t="s">
        <v>689</v>
      </c>
      <c r="F97" s="87">
        <v>1.0149999999999999</v>
      </c>
      <c r="G97" s="101" t="s">
        <v>1971</v>
      </c>
      <c r="H97" s="101" t="s">
        <v>553</v>
      </c>
      <c r="I97" s="101">
        <v>295.93799999999999</v>
      </c>
      <c r="J97" s="87">
        <v>0.61899999999999999</v>
      </c>
      <c r="K97" s="101">
        <v>1.7</v>
      </c>
      <c r="L97" s="339">
        <v>2017</v>
      </c>
      <c r="M97" s="293" t="s">
        <v>863</v>
      </c>
      <c r="N97" s="293" t="s">
        <v>554</v>
      </c>
    </row>
    <row r="98" spans="1:14" ht="19.5" x14ac:dyDescent="0.25">
      <c r="A98" s="402"/>
      <c r="B98" s="562" t="s">
        <v>555</v>
      </c>
      <c r="C98" s="564"/>
      <c r="D98" s="169"/>
      <c r="E98" s="47"/>
      <c r="F98" s="88">
        <f>SUM(F97)</f>
        <v>1.0149999999999999</v>
      </c>
      <c r="G98" s="47"/>
      <c r="H98" s="47"/>
      <c r="I98" s="47"/>
      <c r="J98" s="88">
        <f>SUM(J97)</f>
        <v>0.61899999999999999</v>
      </c>
      <c r="K98" s="47"/>
      <c r="L98" s="296"/>
      <c r="M98" s="293"/>
      <c r="N98" s="293"/>
    </row>
    <row r="99" spans="1:14" ht="18.75" x14ac:dyDescent="0.25">
      <c r="A99" s="584">
        <v>36</v>
      </c>
      <c r="B99" s="452" t="s">
        <v>692</v>
      </c>
      <c r="C99" s="439" t="s">
        <v>693</v>
      </c>
      <c r="D99" s="117" t="s">
        <v>694</v>
      </c>
      <c r="E99" s="449" t="s">
        <v>692</v>
      </c>
      <c r="F99" s="87">
        <v>12.375</v>
      </c>
      <c r="G99" s="427" t="s">
        <v>1971</v>
      </c>
      <c r="H99" s="101" t="s">
        <v>553</v>
      </c>
      <c r="I99" s="101">
        <v>114105.60000000001</v>
      </c>
      <c r="J99" s="87">
        <v>2.4750000000000001</v>
      </c>
      <c r="K99" s="101">
        <v>3.7</v>
      </c>
      <c r="L99" s="585">
        <v>2017</v>
      </c>
      <c r="M99" s="576" t="s">
        <v>1834</v>
      </c>
      <c r="N99" s="576" t="s">
        <v>554</v>
      </c>
    </row>
    <row r="100" spans="1:14" ht="18.75" x14ac:dyDescent="0.25">
      <c r="A100" s="584"/>
      <c r="B100" s="571"/>
      <c r="C100" s="439"/>
      <c r="D100" s="117" t="s">
        <v>695</v>
      </c>
      <c r="E100" s="490"/>
      <c r="F100" s="87">
        <v>0.55967999999999996</v>
      </c>
      <c r="G100" s="427"/>
      <c r="H100" s="101" t="s">
        <v>553</v>
      </c>
      <c r="I100" s="101">
        <v>16464</v>
      </c>
      <c r="J100" s="87">
        <v>0.151</v>
      </c>
      <c r="K100" s="101">
        <v>3.7</v>
      </c>
      <c r="L100" s="585"/>
      <c r="M100" s="580"/>
      <c r="N100" s="580"/>
    </row>
    <row r="101" spans="1:14" ht="25.5" customHeight="1" x14ac:dyDescent="0.25">
      <c r="A101" s="584"/>
      <c r="B101" s="571"/>
      <c r="C101" s="439"/>
      <c r="D101" s="117" t="s">
        <v>696</v>
      </c>
      <c r="E101" s="490"/>
      <c r="F101" s="87">
        <v>440.22</v>
      </c>
      <c r="G101" s="427"/>
      <c r="H101" s="101" t="s">
        <v>553</v>
      </c>
      <c r="I101" s="101">
        <v>2136558</v>
      </c>
      <c r="J101" s="87">
        <v>25.2242</v>
      </c>
      <c r="K101" s="101">
        <v>7</v>
      </c>
      <c r="L101" s="585"/>
      <c r="M101" s="580"/>
      <c r="N101" s="580"/>
    </row>
    <row r="102" spans="1:14" ht="18.75" x14ac:dyDescent="0.25">
      <c r="A102" s="584"/>
      <c r="B102" s="434"/>
      <c r="C102" s="439"/>
      <c r="D102" s="117" t="s">
        <v>697</v>
      </c>
      <c r="E102" s="433"/>
      <c r="F102" s="87">
        <v>260.35599999999999</v>
      </c>
      <c r="G102" s="427"/>
      <c r="H102" s="101" t="s">
        <v>553</v>
      </c>
      <c r="I102" s="101">
        <v>5538128</v>
      </c>
      <c r="J102" s="87">
        <v>65.383139999999997</v>
      </c>
      <c r="K102" s="101">
        <v>4</v>
      </c>
      <c r="L102" s="585"/>
      <c r="M102" s="577"/>
      <c r="N102" s="577"/>
    </row>
    <row r="103" spans="1:14" ht="19.5" x14ac:dyDescent="0.25">
      <c r="A103" s="402"/>
      <c r="B103" s="562" t="s">
        <v>555</v>
      </c>
      <c r="C103" s="564"/>
      <c r="D103" s="169"/>
      <c r="E103" s="47"/>
      <c r="F103" s="88">
        <f>SUM(F99:F102)</f>
        <v>713.51068000000009</v>
      </c>
      <c r="G103" s="47"/>
      <c r="H103" s="47"/>
      <c r="I103" s="47"/>
      <c r="J103" s="88">
        <f>SUM(J99:J102)</f>
        <v>93.233339999999998</v>
      </c>
      <c r="K103" s="47"/>
      <c r="L103" s="296"/>
      <c r="M103" s="293"/>
      <c r="N103" s="293"/>
    </row>
    <row r="104" spans="1:14" ht="25.5" customHeight="1" x14ac:dyDescent="0.25">
      <c r="A104" s="584">
        <v>37</v>
      </c>
      <c r="B104" s="452" t="s">
        <v>698</v>
      </c>
      <c r="C104" s="439" t="s">
        <v>699</v>
      </c>
      <c r="D104" s="117" t="s">
        <v>700</v>
      </c>
      <c r="E104" s="449" t="s">
        <v>698</v>
      </c>
      <c r="F104" s="87">
        <v>3.1</v>
      </c>
      <c r="G104" s="427" t="s">
        <v>1971</v>
      </c>
      <c r="H104" s="101" t="s">
        <v>553</v>
      </c>
      <c r="I104" s="101">
        <v>284900</v>
      </c>
      <c r="J104" s="87">
        <v>2.7149999999999999</v>
      </c>
      <c r="K104" s="101">
        <v>1.2</v>
      </c>
      <c r="L104" s="585">
        <v>2017</v>
      </c>
      <c r="M104" s="576" t="s">
        <v>861</v>
      </c>
      <c r="N104" s="576" t="s">
        <v>554</v>
      </c>
    </row>
    <row r="105" spans="1:14" ht="25.5" customHeight="1" x14ac:dyDescent="0.25">
      <c r="A105" s="584"/>
      <c r="B105" s="571"/>
      <c r="C105" s="439"/>
      <c r="D105" s="117" t="s">
        <v>2230</v>
      </c>
      <c r="E105" s="490"/>
      <c r="F105" s="87">
        <v>2.1</v>
      </c>
      <c r="G105" s="427"/>
      <c r="H105" s="101" t="s">
        <v>553</v>
      </c>
      <c r="I105" s="101">
        <v>116800</v>
      </c>
      <c r="J105" s="87">
        <v>1.67</v>
      </c>
      <c r="K105" s="101">
        <v>1.3</v>
      </c>
      <c r="L105" s="585"/>
      <c r="M105" s="580"/>
      <c r="N105" s="580"/>
    </row>
    <row r="106" spans="1:14" ht="18.75" x14ac:dyDescent="0.25">
      <c r="A106" s="584"/>
      <c r="B106" s="571"/>
      <c r="C106" s="439"/>
      <c r="D106" s="117" t="s">
        <v>701</v>
      </c>
      <c r="E106" s="490"/>
      <c r="F106" s="87">
        <v>0.93</v>
      </c>
      <c r="G106" s="427"/>
      <c r="H106" s="101" t="s">
        <v>553</v>
      </c>
      <c r="I106" s="101">
        <v>17300</v>
      </c>
      <c r="J106" s="87">
        <v>0.16500000000000001</v>
      </c>
      <c r="K106" s="101">
        <v>5.8</v>
      </c>
      <c r="L106" s="585"/>
      <c r="M106" s="580"/>
      <c r="N106" s="580"/>
    </row>
    <row r="107" spans="1:14" ht="18.75" x14ac:dyDescent="0.25">
      <c r="A107" s="584"/>
      <c r="B107" s="571"/>
      <c r="C107" s="439"/>
      <c r="D107" s="117" t="s">
        <v>702</v>
      </c>
      <c r="E107" s="490"/>
      <c r="F107" s="87">
        <v>0.15</v>
      </c>
      <c r="G107" s="427"/>
      <c r="H107" s="101" t="s">
        <v>553</v>
      </c>
      <c r="I107" s="101">
        <v>19600</v>
      </c>
      <c r="J107" s="87">
        <v>0.187</v>
      </c>
      <c r="K107" s="101">
        <v>1</v>
      </c>
      <c r="L107" s="585"/>
      <c r="M107" s="580"/>
      <c r="N107" s="580"/>
    </row>
    <row r="108" spans="1:14" ht="18.75" x14ac:dyDescent="0.25">
      <c r="A108" s="584"/>
      <c r="B108" s="434"/>
      <c r="C108" s="439"/>
      <c r="D108" s="117" t="s">
        <v>703</v>
      </c>
      <c r="E108" s="433"/>
      <c r="F108" s="87">
        <v>12.654999999999999</v>
      </c>
      <c r="G108" s="427"/>
      <c r="H108" s="101" t="s">
        <v>553</v>
      </c>
      <c r="I108" s="101">
        <v>35500</v>
      </c>
      <c r="J108" s="87">
        <v>0.33829999999999999</v>
      </c>
      <c r="K108" s="101">
        <v>37.5</v>
      </c>
      <c r="L108" s="585"/>
      <c r="M108" s="577"/>
      <c r="N108" s="577"/>
    </row>
    <row r="109" spans="1:14" ht="19.5" x14ac:dyDescent="0.25">
      <c r="A109" s="402"/>
      <c r="B109" s="562" t="s">
        <v>555</v>
      </c>
      <c r="C109" s="564"/>
      <c r="D109" s="169"/>
      <c r="E109" s="47"/>
      <c r="F109" s="88">
        <f>SUM(F104:F108)</f>
        <v>18.934999999999999</v>
      </c>
      <c r="G109" s="47"/>
      <c r="H109" s="47"/>
      <c r="I109" s="47"/>
      <c r="J109" s="88">
        <f>SUM(J104:J108)</f>
        <v>5.0753000000000004</v>
      </c>
      <c r="K109" s="47"/>
      <c r="L109" s="296"/>
      <c r="M109" s="293"/>
      <c r="N109" s="293"/>
    </row>
    <row r="110" spans="1:14" ht="18.75" x14ac:dyDescent="0.25">
      <c r="A110" s="584">
        <v>38</v>
      </c>
      <c r="B110" s="452" t="s">
        <v>704</v>
      </c>
      <c r="C110" s="439" t="s">
        <v>705</v>
      </c>
      <c r="D110" s="117" t="s">
        <v>706</v>
      </c>
      <c r="E110" s="101" t="s">
        <v>709</v>
      </c>
      <c r="F110" s="87">
        <v>69.38</v>
      </c>
      <c r="G110" s="427" t="s">
        <v>1971</v>
      </c>
      <c r="H110" s="101" t="s">
        <v>553</v>
      </c>
      <c r="I110" s="101">
        <v>609800</v>
      </c>
      <c r="J110" s="87">
        <v>9.1</v>
      </c>
      <c r="K110" s="101">
        <v>8</v>
      </c>
      <c r="L110" s="585">
        <v>2017</v>
      </c>
      <c r="M110" s="576" t="s">
        <v>1834</v>
      </c>
      <c r="N110" s="576" t="s">
        <v>554</v>
      </c>
    </row>
    <row r="111" spans="1:14" ht="59.25" customHeight="1" x14ac:dyDescent="0.25">
      <c r="A111" s="584"/>
      <c r="B111" s="571"/>
      <c r="C111" s="439"/>
      <c r="D111" s="117" t="s">
        <v>707</v>
      </c>
      <c r="E111" s="101" t="s">
        <v>704</v>
      </c>
      <c r="F111" s="87">
        <v>2.2000000000000002</v>
      </c>
      <c r="G111" s="427"/>
      <c r="H111" s="101" t="s">
        <v>553</v>
      </c>
      <c r="I111" s="101">
        <v>64800</v>
      </c>
      <c r="J111" s="87">
        <v>0.97</v>
      </c>
      <c r="K111" s="101">
        <v>3</v>
      </c>
      <c r="L111" s="585"/>
      <c r="M111" s="580"/>
      <c r="N111" s="580"/>
    </row>
    <row r="112" spans="1:14" ht="37.5" x14ac:dyDescent="0.25">
      <c r="A112" s="584"/>
      <c r="B112" s="434"/>
      <c r="C112" s="439"/>
      <c r="D112" s="117" t="s">
        <v>708</v>
      </c>
      <c r="E112" s="101" t="s">
        <v>709</v>
      </c>
      <c r="F112" s="87">
        <v>1066.9000000000001</v>
      </c>
      <c r="G112" s="427"/>
      <c r="H112" s="101" t="s">
        <v>37</v>
      </c>
      <c r="I112" s="101">
        <v>1633.8</v>
      </c>
      <c r="J112" s="87">
        <v>2.88</v>
      </c>
      <c r="K112" s="101">
        <v>0</v>
      </c>
      <c r="L112" s="585"/>
      <c r="M112" s="577"/>
      <c r="N112" s="577"/>
    </row>
    <row r="113" spans="1:14" ht="19.5" x14ac:dyDescent="0.25">
      <c r="A113" s="402"/>
      <c r="B113" s="562" t="s">
        <v>555</v>
      </c>
      <c r="C113" s="564"/>
      <c r="D113" s="169"/>
      <c r="E113" s="47"/>
      <c r="F113" s="88">
        <f>SUM(F110:F112)</f>
        <v>1138.48</v>
      </c>
      <c r="G113" s="47"/>
      <c r="H113" s="47"/>
      <c r="I113" s="47"/>
      <c r="J113" s="88">
        <f>SUM(J110:J112)</f>
        <v>12.95</v>
      </c>
      <c r="K113" s="47"/>
      <c r="L113" s="296"/>
      <c r="M113" s="293"/>
      <c r="N113" s="293"/>
    </row>
    <row r="114" spans="1:14" s="10" customFormat="1" ht="21.75" customHeight="1" x14ac:dyDescent="0.25">
      <c r="A114" s="403"/>
      <c r="B114" s="572" t="s">
        <v>710</v>
      </c>
      <c r="C114" s="573"/>
      <c r="D114" s="574"/>
      <c r="E114" s="172"/>
      <c r="F114" s="88">
        <f>F49+F51+F53+F55+F57+F59+F61+F63+F68+F73+F76+F79+F81+F83+F85+F88+F91+F94+F96+F98+F103+F109+F113</f>
        <v>7286.8428800000002</v>
      </c>
      <c r="G114" s="51"/>
      <c r="H114" s="51"/>
      <c r="I114" s="51"/>
      <c r="J114" s="52">
        <f>J49+J51+J53+J55+J57+J59+J61+J63+J68+J73+J76+J79+J81+J83+J85+J88+J91+J94+J96+J98+J103+J109+J113</f>
        <v>1043.5444850000001</v>
      </c>
      <c r="K114" s="51"/>
      <c r="L114" s="297"/>
      <c r="M114" s="295"/>
      <c r="N114" s="295"/>
    </row>
    <row r="115" spans="1:14" ht="75.75" customHeight="1" x14ac:dyDescent="0.25">
      <c r="A115" s="584">
        <v>39</v>
      </c>
      <c r="B115" s="452" t="s">
        <v>711</v>
      </c>
      <c r="C115" s="439" t="s">
        <v>712</v>
      </c>
      <c r="D115" s="117" t="s">
        <v>2233</v>
      </c>
      <c r="E115" s="449" t="s">
        <v>714</v>
      </c>
      <c r="F115" s="87">
        <v>23.762</v>
      </c>
      <c r="G115" s="427" t="s">
        <v>715</v>
      </c>
      <c r="H115" s="101" t="s">
        <v>553</v>
      </c>
      <c r="I115" s="101">
        <v>895.024</v>
      </c>
      <c r="J115" s="87">
        <v>16.334</v>
      </c>
      <c r="K115" s="101">
        <v>1.45</v>
      </c>
      <c r="L115" s="585">
        <v>2018</v>
      </c>
      <c r="M115" s="576" t="s">
        <v>1952</v>
      </c>
      <c r="N115" s="576" t="s">
        <v>554</v>
      </c>
    </row>
    <row r="116" spans="1:14" ht="69.75" customHeight="1" x14ac:dyDescent="0.25">
      <c r="A116" s="584"/>
      <c r="B116" s="571"/>
      <c r="C116" s="439"/>
      <c r="D116" s="117" t="s">
        <v>2231</v>
      </c>
      <c r="E116" s="490"/>
      <c r="F116" s="87">
        <v>12.754</v>
      </c>
      <c r="G116" s="427"/>
      <c r="H116" s="101" t="s">
        <v>553</v>
      </c>
      <c r="I116" s="101">
        <v>352.73599999999999</v>
      </c>
      <c r="J116" s="87">
        <v>6.4370000000000003</v>
      </c>
      <c r="K116" s="101">
        <v>1.98</v>
      </c>
      <c r="L116" s="585"/>
      <c r="M116" s="580"/>
      <c r="N116" s="580"/>
    </row>
    <row r="117" spans="1:14" ht="56.25" customHeight="1" x14ac:dyDescent="0.25">
      <c r="A117" s="584"/>
      <c r="B117" s="571"/>
      <c r="C117" s="439"/>
      <c r="D117" s="117" t="s">
        <v>713</v>
      </c>
      <c r="E117" s="490"/>
      <c r="F117" s="87">
        <v>0.13600000000000001</v>
      </c>
      <c r="G117" s="427"/>
      <c r="H117" s="101" t="s">
        <v>553</v>
      </c>
      <c r="I117" s="101">
        <v>4.18</v>
      </c>
      <c r="J117" s="87">
        <v>7.5999999999999998E-2</v>
      </c>
      <c r="K117" s="101">
        <v>1.78</v>
      </c>
      <c r="L117" s="585"/>
      <c r="M117" s="577"/>
      <c r="N117" s="577"/>
    </row>
    <row r="118" spans="1:14" ht="19.5" x14ac:dyDescent="0.25">
      <c r="A118" s="402"/>
      <c r="B118" s="562" t="s">
        <v>555</v>
      </c>
      <c r="C118" s="564"/>
      <c r="D118" s="169"/>
      <c r="E118" s="47"/>
      <c r="F118" s="88">
        <f>SUM(F115:F117)</f>
        <v>36.652000000000001</v>
      </c>
      <c r="G118" s="47"/>
      <c r="H118" s="47"/>
      <c r="I118" s="47"/>
      <c r="J118" s="88">
        <f>SUM(J115:J117)</f>
        <v>22.847000000000001</v>
      </c>
      <c r="K118" s="47"/>
      <c r="L118" s="296"/>
      <c r="M118" s="293"/>
      <c r="N118" s="293"/>
    </row>
    <row r="119" spans="1:14" ht="18.75" x14ac:dyDescent="0.25">
      <c r="A119" s="584">
        <v>40</v>
      </c>
      <c r="B119" s="452" t="s">
        <v>717</v>
      </c>
      <c r="C119" s="454" t="s">
        <v>716</v>
      </c>
      <c r="D119" s="117" t="s">
        <v>718</v>
      </c>
      <c r="E119" s="449" t="s">
        <v>719</v>
      </c>
      <c r="F119" s="87">
        <v>7.7</v>
      </c>
      <c r="G119" s="427" t="s">
        <v>1971</v>
      </c>
      <c r="H119" s="101" t="s">
        <v>553</v>
      </c>
      <c r="I119" s="101">
        <v>103500</v>
      </c>
      <c r="J119" s="87">
        <v>1.5820000000000001</v>
      </c>
      <c r="K119" s="101">
        <v>4.9000000000000004</v>
      </c>
      <c r="L119" s="585">
        <v>2018</v>
      </c>
      <c r="M119" s="576" t="s">
        <v>1834</v>
      </c>
      <c r="N119" s="576" t="s">
        <v>554</v>
      </c>
    </row>
    <row r="120" spans="1:14" ht="18.75" x14ac:dyDescent="0.25">
      <c r="A120" s="584"/>
      <c r="B120" s="434"/>
      <c r="C120" s="455"/>
      <c r="D120" s="117" t="s">
        <v>2234</v>
      </c>
      <c r="E120" s="433"/>
      <c r="F120" s="87">
        <v>4.3</v>
      </c>
      <c r="G120" s="427"/>
      <c r="H120" s="101" t="s">
        <v>37</v>
      </c>
      <c r="I120" s="101">
        <v>178.56</v>
      </c>
      <c r="J120" s="87">
        <v>0.51700000000000002</v>
      </c>
      <c r="K120" s="101">
        <v>5.2</v>
      </c>
      <c r="L120" s="585"/>
      <c r="M120" s="577"/>
      <c r="N120" s="577"/>
    </row>
    <row r="121" spans="1:14" ht="19.5" x14ac:dyDescent="0.25">
      <c r="A121" s="402"/>
      <c r="B121" s="562" t="s">
        <v>555</v>
      </c>
      <c r="C121" s="564"/>
      <c r="D121" s="169"/>
      <c r="E121" s="47"/>
      <c r="F121" s="88">
        <f>SUM(F119:F120)</f>
        <v>12</v>
      </c>
      <c r="G121" s="47"/>
      <c r="H121" s="47"/>
      <c r="I121" s="47"/>
      <c r="J121" s="88">
        <f>SUM(J119:J120)</f>
        <v>2.0990000000000002</v>
      </c>
      <c r="K121" s="47"/>
      <c r="L121" s="296"/>
      <c r="M121" s="293"/>
      <c r="N121" s="293"/>
    </row>
    <row r="122" spans="1:14" ht="18.75" x14ac:dyDescent="0.25">
      <c r="A122" s="584">
        <v>41</v>
      </c>
      <c r="B122" s="452" t="s">
        <v>720</v>
      </c>
      <c r="C122" s="439" t="s">
        <v>721</v>
      </c>
      <c r="D122" s="117" t="s">
        <v>722</v>
      </c>
      <c r="E122" s="449" t="s">
        <v>720</v>
      </c>
      <c r="F122" s="87">
        <v>1.02</v>
      </c>
      <c r="G122" s="427" t="s">
        <v>1971</v>
      </c>
      <c r="H122" s="101" t="s">
        <v>553</v>
      </c>
      <c r="I122" s="101">
        <v>24600</v>
      </c>
      <c r="J122" s="87">
        <v>0.26617000000000002</v>
      </c>
      <c r="K122" s="101">
        <v>3.8</v>
      </c>
      <c r="L122" s="585">
        <v>2018</v>
      </c>
      <c r="M122" s="576" t="s">
        <v>1834</v>
      </c>
      <c r="N122" s="576" t="s">
        <v>554</v>
      </c>
    </row>
    <row r="123" spans="1:14" ht="28.5" customHeight="1" x14ac:dyDescent="0.25">
      <c r="A123" s="584"/>
      <c r="B123" s="571"/>
      <c r="C123" s="439"/>
      <c r="D123" s="117" t="s">
        <v>723</v>
      </c>
      <c r="E123" s="490"/>
      <c r="F123" s="87">
        <v>75.260000000000005</v>
      </c>
      <c r="G123" s="427"/>
      <c r="H123" s="101" t="s">
        <v>553</v>
      </c>
      <c r="I123" s="101">
        <v>496318</v>
      </c>
      <c r="J123" s="87">
        <v>5.476</v>
      </c>
      <c r="K123" s="101">
        <v>13.7</v>
      </c>
      <c r="L123" s="585"/>
      <c r="M123" s="580"/>
      <c r="N123" s="580"/>
    </row>
    <row r="124" spans="1:14" ht="37.5" customHeight="1" x14ac:dyDescent="0.25">
      <c r="A124" s="584"/>
      <c r="B124" s="571"/>
      <c r="C124" s="439"/>
      <c r="D124" s="117" t="s">
        <v>724</v>
      </c>
      <c r="E124" s="490"/>
      <c r="F124" s="87">
        <v>4</v>
      </c>
      <c r="G124" s="427"/>
      <c r="H124" s="101" t="s">
        <v>553</v>
      </c>
      <c r="I124" s="101">
        <v>141800</v>
      </c>
      <c r="J124" s="87">
        <v>1.5343</v>
      </c>
      <c r="K124" s="101">
        <v>2.6</v>
      </c>
      <c r="L124" s="585"/>
      <c r="M124" s="580"/>
      <c r="N124" s="580"/>
    </row>
    <row r="125" spans="1:14" ht="25.5" customHeight="1" x14ac:dyDescent="0.25">
      <c r="A125" s="584"/>
      <c r="B125" s="571"/>
      <c r="C125" s="439"/>
      <c r="D125" s="117" t="s">
        <v>725</v>
      </c>
      <c r="E125" s="490"/>
      <c r="F125" s="87">
        <v>58.52</v>
      </c>
      <c r="G125" s="427"/>
      <c r="H125" s="101" t="s">
        <v>553</v>
      </c>
      <c r="I125" s="101">
        <v>803000</v>
      </c>
      <c r="J125" s="87">
        <v>8.6884599999999992</v>
      </c>
      <c r="K125" s="101">
        <v>6.7</v>
      </c>
      <c r="L125" s="585"/>
      <c r="M125" s="577"/>
      <c r="N125" s="577"/>
    </row>
    <row r="126" spans="1:14" ht="19.5" x14ac:dyDescent="0.25">
      <c r="A126" s="402"/>
      <c r="B126" s="562" t="s">
        <v>555</v>
      </c>
      <c r="C126" s="564"/>
      <c r="D126" s="169"/>
      <c r="E126" s="47"/>
      <c r="F126" s="88">
        <f>SUM(F122:F125)</f>
        <v>138.80000000000001</v>
      </c>
      <c r="G126" s="47"/>
      <c r="H126" s="47"/>
      <c r="I126" s="47"/>
      <c r="J126" s="88">
        <f>SUM(J122:J125)</f>
        <v>15.964929999999999</v>
      </c>
      <c r="K126" s="47"/>
      <c r="L126" s="296"/>
      <c r="M126" s="293"/>
      <c r="N126" s="293"/>
    </row>
    <row r="127" spans="1:14" ht="95.25" customHeight="1" x14ac:dyDescent="0.25">
      <c r="A127" s="402">
        <v>42</v>
      </c>
      <c r="B127" s="108" t="s">
        <v>726</v>
      </c>
      <c r="C127" s="117" t="s">
        <v>727</v>
      </c>
      <c r="D127" s="117" t="s">
        <v>728</v>
      </c>
      <c r="E127" s="101" t="s">
        <v>605</v>
      </c>
      <c r="F127" s="87">
        <v>54.3</v>
      </c>
      <c r="G127" s="101" t="s">
        <v>729</v>
      </c>
      <c r="H127" s="101" t="s">
        <v>553</v>
      </c>
      <c r="I127" s="101">
        <v>523336</v>
      </c>
      <c r="J127" s="87">
        <v>9.35</v>
      </c>
      <c r="K127" s="101">
        <v>5.8</v>
      </c>
      <c r="L127" s="339">
        <v>2018</v>
      </c>
      <c r="M127" s="293" t="s">
        <v>1834</v>
      </c>
      <c r="N127" s="293" t="s">
        <v>554</v>
      </c>
    </row>
    <row r="128" spans="1:14" ht="19.5" x14ac:dyDescent="0.25">
      <c r="A128" s="402"/>
      <c r="B128" s="562" t="s">
        <v>555</v>
      </c>
      <c r="C128" s="564"/>
      <c r="D128" s="169"/>
      <c r="E128" s="47"/>
      <c r="F128" s="88">
        <f>SUM(F127)</f>
        <v>54.3</v>
      </c>
      <c r="G128" s="47"/>
      <c r="H128" s="47"/>
      <c r="I128" s="47"/>
      <c r="J128" s="88">
        <f>SUM(J127)</f>
        <v>9.35</v>
      </c>
      <c r="K128" s="47"/>
      <c r="L128" s="296"/>
      <c r="M128" s="293"/>
      <c r="N128" s="293"/>
    </row>
    <row r="129" spans="1:14" ht="18.75" x14ac:dyDescent="0.25">
      <c r="A129" s="584">
        <v>43</v>
      </c>
      <c r="B129" s="426" t="s">
        <v>730</v>
      </c>
      <c r="C129" s="439" t="s">
        <v>731</v>
      </c>
      <c r="D129" s="117" t="s">
        <v>2236</v>
      </c>
      <c r="E129" s="427" t="s">
        <v>730</v>
      </c>
      <c r="F129" s="87">
        <v>14</v>
      </c>
      <c r="G129" s="427" t="s">
        <v>1971</v>
      </c>
      <c r="H129" s="101" t="s">
        <v>37</v>
      </c>
      <c r="I129" s="101">
        <v>531.20000000000005</v>
      </c>
      <c r="J129" s="87">
        <v>3.5057</v>
      </c>
      <c r="K129" s="101">
        <v>4</v>
      </c>
      <c r="L129" s="585">
        <v>2018</v>
      </c>
      <c r="M129" s="576" t="s">
        <v>861</v>
      </c>
      <c r="N129" s="576" t="s">
        <v>554</v>
      </c>
    </row>
    <row r="130" spans="1:14" ht="25.5" customHeight="1" x14ac:dyDescent="0.25">
      <c r="A130" s="584"/>
      <c r="B130" s="426"/>
      <c r="C130" s="439"/>
      <c r="D130" s="117" t="s">
        <v>732</v>
      </c>
      <c r="E130" s="427"/>
      <c r="F130" s="87">
        <v>26.114999999999998</v>
      </c>
      <c r="G130" s="427"/>
      <c r="H130" s="101" t="s">
        <v>553</v>
      </c>
      <c r="I130" s="101">
        <v>721.7</v>
      </c>
      <c r="J130" s="87">
        <v>9.4594000000000005</v>
      </c>
      <c r="K130" s="101">
        <v>2.8</v>
      </c>
      <c r="L130" s="585"/>
      <c r="M130" s="580"/>
      <c r="N130" s="580"/>
    </row>
    <row r="131" spans="1:14" ht="18.75" x14ac:dyDescent="0.25">
      <c r="A131" s="584"/>
      <c r="B131" s="426"/>
      <c r="C131" s="439"/>
      <c r="D131" s="117" t="s">
        <v>733</v>
      </c>
      <c r="E131" s="427"/>
      <c r="F131" s="87">
        <v>0.08</v>
      </c>
      <c r="G131" s="427"/>
      <c r="H131" s="101" t="s">
        <v>553</v>
      </c>
      <c r="I131" s="101">
        <v>9.5</v>
      </c>
      <c r="J131" s="87">
        <v>0.1227</v>
      </c>
      <c r="K131" s="101">
        <v>0.7</v>
      </c>
      <c r="L131" s="585"/>
      <c r="M131" s="580"/>
      <c r="N131" s="580"/>
    </row>
    <row r="132" spans="1:14" ht="18.75" x14ac:dyDescent="0.25">
      <c r="A132" s="584"/>
      <c r="B132" s="426"/>
      <c r="C132" s="439"/>
      <c r="D132" s="117" t="s">
        <v>734</v>
      </c>
      <c r="E132" s="427"/>
      <c r="F132" s="87">
        <v>3.4079999999999999</v>
      </c>
      <c r="G132" s="427"/>
      <c r="H132" s="101" t="s">
        <v>553</v>
      </c>
      <c r="I132" s="101">
        <v>71.400000000000006</v>
      </c>
      <c r="J132" s="87">
        <v>0.96109999999999995</v>
      </c>
      <c r="K132" s="101">
        <v>3.5</v>
      </c>
      <c r="L132" s="585"/>
      <c r="M132" s="577"/>
      <c r="N132" s="577"/>
    </row>
    <row r="133" spans="1:14" ht="19.5" x14ac:dyDescent="0.25">
      <c r="A133" s="402"/>
      <c r="B133" s="562" t="s">
        <v>555</v>
      </c>
      <c r="C133" s="564"/>
      <c r="D133" s="169"/>
      <c r="E133" s="47"/>
      <c r="F133" s="88">
        <f>SUM(F129:F132)</f>
        <v>43.602999999999994</v>
      </c>
      <c r="G133" s="47"/>
      <c r="H133" s="47"/>
      <c r="I133" s="47"/>
      <c r="J133" s="88">
        <f>SUM(J129:J132)</f>
        <v>14.0489</v>
      </c>
      <c r="K133" s="47"/>
      <c r="L133" s="296"/>
      <c r="M133" s="293"/>
      <c r="N133" s="293"/>
    </row>
    <row r="134" spans="1:14" ht="25.5" customHeight="1" x14ac:dyDescent="0.25">
      <c r="A134" s="584">
        <v>44</v>
      </c>
      <c r="B134" s="426" t="s">
        <v>735</v>
      </c>
      <c r="C134" s="439" t="s">
        <v>736</v>
      </c>
      <c r="D134" s="117" t="s">
        <v>737</v>
      </c>
      <c r="E134" s="427" t="s">
        <v>1513</v>
      </c>
      <c r="F134" s="87">
        <v>39</v>
      </c>
      <c r="G134" s="427" t="s">
        <v>1971</v>
      </c>
      <c r="H134" s="427" t="s">
        <v>553</v>
      </c>
      <c r="I134" s="101">
        <v>98400</v>
      </c>
      <c r="J134" s="87">
        <v>1.117</v>
      </c>
      <c r="K134" s="367">
        <v>7.6</v>
      </c>
      <c r="L134" s="585">
        <v>2018</v>
      </c>
      <c r="M134" s="576" t="s">
        <v>1955</v>
      </c>
      <c r="N134" s="576" t="s">
        <v>554</v>
      </c>
    </row>
    <row r="135" spans="1:14" ht="18.75" x14ac:dyDescent="0.25">
      <c r="A135" s="584"/>
      <c r="B135" s="426"/>
      <c r="C135" s="439"/>
      <c r="D135" s="117" t="s">
        <v>738</v>
      </c>
      <c r="E135" s="427"/>
      <c r="F135" s="87">
        <v>0.7</v>
      </c>
      <c r="G135" s="427"/>
      <c r="H135" s="427"/>
      <c r="I135" s="101">
        <v>41600</v>
      </c>
      <c r="J135" s="87">
        <v>0.437</v>
      </c>
      <c r="K135" s="367">
        <v>1.6</v>
      </c>
      <c r="L135" s="585"/>
      <c r="M135" s="580"/>
      <c r="N135" s="580"/>
    </row>
    <row r="136" spans="1:14" ht="18.75" x14ac:dyDescent="0.25">
      <c r="A136" s="584"/>
      <c r="B136" s="426"/>
      <c r="C136" s="439"/>
      <c r="D136" s="117" t="s">
        <v>739</v>
      </c>
      <c r="E136" s="427"/>
      <c r="F136" s="87">
        <v>13</v>
      </c>
      <c r="G136" s="427"/>
      <c r="H136" s="427"/>
      <c r="I136" s="101">
        <v>89907.4</v>
      </c>
      <c r="J136" s="87">
        <v>5.51</v>
      </c>
      <c r="K136" s="367">
        <v>2.4</v>
      </c>
      <c r="L136" s="585"/>
      <c r="M136" s="580"/>
      <c r="N136" s="580"/>
    </row>
    <row r="137" spans="1:14" ht="37.5" x14ac:dyDescent="0.25">
      <c r="A137" s="584"/>
      <c r="B137" s="426"/>
      <c r="C137" s="439"/>
      <c r="D137" s="117" t="s">
        <v>740</v>
      </c>
      <c r="E137" s="427"/>
      <c r="F137" s="87">
        <v>22.3</v>
      </c>
      <c r="G137" s="427"/>
      <c r="H137" s="427"/>
      <c r="I137" s="101">
        <v>1647721</v>
      </c>
      <c r="J137" s="87">
        <v>37.402999999999999</v>
      </c>
      <c r="K137" s="367">
        <v>0.6</v>
      </c>
      <c r="L137" s="585"/>
      <c r="M137" s="577"/>
      <c r="N137" s="577"/>
    </row>
    <row r="138" spans="1:14" ht="19.5" x14ac:dyDescent="0.25">
      <c r="A138" s="402"/>
      <c r="B138" s="562" t="s">
        <v>555</v>
      </c>
      <c r="C138" s="564"/>
      <c r="D138" s="169"/>
      <c r="E138" s="47"/>
      <c r="F138" s="88">
        <f>SUM(F134:F137)</f>
        <v>75</v>
      </c>
      <c r="G138" s="47"/>
      <c r="H138" s="47"/>
      <c r="I138" s="47"/>
      <c r="J138" s="88">
        <f>SUM(J134:J137)</f>
        <v>44.466999999999999</v>
      </c>
      <c r="K138" s="47"/>
      <c r="L138" s="296"/>
      <c r="M138" s="293"/>
      <c r="N138" s="293"/>
    </row>
    <row r="139" spans="1:14" ht="18.75" x14ac:dyDescent="0.25">
      <c r="A139" s="584">
        <v>45</v>
      </c>
      <c r="B139" s="426" t="s">
        <v>741</v>
      </c>
      <c r="C139" s="439" t="s">
        <v>742</v>
      </c>
      <c r="D139" s="117" t="s">
        <v>743</v>
      </c>
      <c r="E139" s="427" t="s">
        <v>751</v>
      </c>
      <c r="F139" s="87">
        <v>574.49300000000005</v>
      </c>
      <c r="G139" s="427" t="s">
        <v>1971</v>
      </c>
      <c r="H139" s="101" t="s">
        <v>553</v>
      </c>
      <c r="I139" s="101">
        <v>12750400</v>
      </c>
      <c r="J139" s="87">
        <v>228.10499999999999</v>
      </c>
      <c r="K139" s="367">
        <v>2.6</v>
      </c>
      <c r="L139" s="585">
        <v>2018</v>
      </c>
      <c r="M139" s="576" t="s">
        <v>1951</v>
      </c>
      <c r="N139" s="576" t="s">
        <v>554</v>
      </c>
    </row>
    <row r="140" spans="1:14" ht="18.75" x14ac:dyDescent="0.25">
      <c r="A140" s="584"/>
      <c r="B140" s="426"/>
      <c r="C140" s="439"/>
      <c r="D140" s="117" t="s">
        <v>2229</v>
      </c>
      <c r="E140" s="427"/>
      <c r="F140" s="87">
        <v>204.91499999999999</v>
      </c>
      <c r="G140" s="427"/>
      <c r="H140" s="101" t="s">
        <v>553</v>
      </c>
      <c r="I140" s="101">
        <v>435060</v>
      </c>
      <c r="J140" s="87">
        <v>7.7830000000000004</v>
      </c>
      <c r="K140" s="367">
        <v>26</v>
      </c>
      <c r="L140" s="585"/>
      <c r="M140" s="580"/>
      <c r="N140" s="580"/>
    </row>
    <row r="141" spans="1:14" ht="56.25" customHeight="1" x14ac:dyDescent="0.25">
      <c r="A141" s="584"/>
      <c r="B141" s="426"/>
      <c r="C141" s="439"/>
      <c r="D141" s="117" t="s">
        <v>744</v>
      </c>
      <c r="E141" s="427"/>
      <c r="F141" s="87">
        <v>63.078000000000003</v>
      </c>
      <c r="G141" s="427"/>
      <c r="H141" s="101" t="s">
        <v>758</v>
      </c>
      <c r="I141" s="101">
        <v>100076.2</v>
      </c>
      <c r="J141" s="87">
        <v>17.417000000000002</v>
      </c>
      <c r="K141" s="367">
        <v>3.5</v>
      </c>
      <c r="L141" s="585"/>
      <c r="M141" s="580"/>
      <c r="N141" s="580"/>
    </row>
    <row r="142" spans="1:14" ht="37.5" customHeight="1" x14ac:dyDescent="0.25">
      <c r="A142" s="584"/>
      <c r="B142" s="426"/>
      <c r="C142" s="439"/>
      <c r="D142" s="117" t="s">
        <v>745</v>
      </c>
      <c r="E142" s="427"/>
      <c r="F142" s="87">
        <v>620</v>
      </c>
      <c r="G142" s="427"/>
      <c r="H142" s="101" t="s">
        <v>553</v>
      </c>
      <c r="I142" s="101">
        <v>13663100</v>
      </c>
      <c r="J142" s="87">
        <v>244.43299999999999</v>
      </c>
      <c r="K142" s="367">
        <v>2.5</v>
      </c>
      <c r="L142" s="585"/>
      <c r="M142" s="580"/>
      <c r="N142" s="580"/>
    </row>
    <row r="143" spans="1:14" ht="25.5" customHeight="1" x14ac:dyDescent="0.25">
      <c r="A143" s="584"/>
      <c r="B143" s="426"/>
      <c r="C143" s="439"/>
      <c r="D143" s="117" t="s">
        <v>746</v>
      </c>
      <c r="E143" s="427"/>
      <c r="F143" s="87">
        <v>1030</v>
      </c>
      <c r="G143" s="427"/>
      <c r="H143" s="101" t="s">
        <v>553</v>
      </c>
      <c r="I143" s="101">
        <v>40000000</v>
      </c>
      <c r="J143" s="87">
        <v>715.6</v>
      </c>
      <c r="K143" s="367">
        <v>1.4</v>
      </c>
      <c r="L143" s="585"/>
      <c r="M143" s="580"/>
      <c r="N143" s="580"/>
    </row>
    <row r="144" spans="1:14" ht="37.5" x14ac:dyDescent="0.25">
      <c r="A144" s="584"/>
      <c r="B144" s="426"/>
      <c r="C144" s="439"/>
      <c r="D144" s="117" t="s">
        <v>747</v>
      </c>
      <c r="E144" s="427"/>
      <c r="F144" s="87">
        <v>28</v>
      </c>
      <c r="G144" s="427"/>
      <c r="H144" s="101" t="s">
        <v>37</v>
      </c>
      <c r="I144" s="101">
        <v>12878</v>
      </c>
      <c r="J144" s="87">
        <v>25.8</v>
      </c>
      <c r="K144" s="367">
        <v>1</v>
      </c>
      <c r="L144" s="585"/>
      <c r="M144" s="580"/>
      <c r="N144" s="580"/>
    </row>
    <row r="145" spans="1:14" ht="18.75" x14ac:dyDescent="0.25">
      <c r="A145" s="584"/>
      <c r="B145" s="426"/>
      <c r="C145" s="439"/>
      <c r="D145" s="117" t="s">
        <v>748</v>
      </c>
      <c r="E145" s="427"/>
      <c r="F145" s="87">
        <v>75</v>
      </c>
      <c r="G145" s="427"/>
      <c r="H145" s="101" t="s">
        <v>553</v>
      </c>
      <c r="I145" s="101">
        <v>655200</v>
      </c>
      <c r="J145" s="87">
        <v>11.722</v>
      </c>
      <c r="K145" s="367">
        <v>6.5</v>
      </c>
      <c r="L145" s="585"/>
      <c r="M145" s="580"/>
      <c r="N145" s="580"/>
    </row>
    <row r="146" spans="1:14" ht="56.25" customHeight="1" x14ac:dyDescent="0.25">
      <c r="A146" s="584"/>
      <c r="B146" s="426"/>
      <c r="C146" s="439"/>
      <c r="D146" s="117" t="s">
        <v>749</v>
      </c>
      <c r="E146" s="427"/>
      <c r="F146" s="87">
        <v>818.8</v>
      </c>
      <c r="G146" s="427"/>
      <c r="H146" s="101" t="s">
        <v>553</v>
      </c>
      <c r="I146" s="101">
        <v>28496</v>
      </c>
      <c r="J146" s="87">
        <v>509.791</v>
      </c>
      <c r="K146" s="367">
        <v>1.6</v>
      </c>
      <c r="L146" s="585"/>
      <c r="M146" s="580"/>
      <c r="N146" s="580"/>
    </row>
    <row r="147" spans="1:14" ht="37.5" x14ac:dyDescent="0.25">
      <c r="A147" s="584"/>
      <c r="B147" s="426"/>
      <c r="C147" s="439"/>
      <c r="D147" s="117" t="s">
        <v>750</v>
      </c>
      <c r="E147" s="427"/>
      <c r="F147" s="87">
        <v>200</v>
      </c>
      <c r="G147" s="427"/>
      <c r="H147" s="101" t="s">
        <v>553</v>
      </c>
      <c r="I147" s="101">
        <v>6991000</v>
      </c>
      <c r="J147" s="87">
        <v>164.84800000000001</v>
      </c>
      <c r="K147" s="367">
        <v>1.3</v>
      </c>
      <c r="L147" s="585"/>
      <c r="M147" s="577"/>
      <c r="N147" s="577"/>
    </row>
    <row r="148" spans="1:14" ht="19.5" x14ac:dyDescent="0.25">
      <c r="A148" s="402"/>
      <c r="B148" s="562" t="s">
        <v>555</v>
      </c>
      <c r="C148" s="564"/>
      <c r="D148" s="169"/>
      <c r="E148" s="47"/>
      <c r="F148" s="88">
        <f>SUM(F139:F147)</f>
        <v>3614.2860000000001</v>
      </c>
      <c r="G148" s="47"/>
      <c r="H148" s="47"/>
      <c r="I148" s="47"/>
      <c r="J148" s="88">
        <f>SUM(J139:J147)</f>
        <v>1925.4989999999998</v>
      </c>
      <c r="K148" s="47"/>
      <c r="L148" s="296"/>
      <c r="M148" s="293"/>
      <c r="N148" s="293"/>
    </row>
    <row r="149" spans="1:14" ht="25.5" customHeight="1" x14ac:dyDescent="0.25">
      <c r="A149" s="584">
        <v>46</v>
      </c>
      <c r="B149" s="426" t="s">
        <v>752</v>
      </c>
      <c r="C149" s="439" t="s">
        <v>753</v>
      </c>
      <c r="D149" s="117" t="s">
        <v>754</v>
      </c>
      <c r="E149" s="427" t="s">
        <v>752</v>
      </c>
      <c r="F149" s="87">
        <v>790.62599999999998</v>
      </c>
      <c r="G149" s="427" t="s">
        <v>1971</v>
      </c>
      <c r="H149" s="101" t="s">
        <v>553</v>
      </c>
      <c r="I149" s="101">
        <v>4289829</v>
      </c>
      <c r="J149" s="87">
        <v>95.278000000000006</v>
      </c>
      <c r="K149" s="367">
        <v>3.4</v>
      </c>
      <c r="L149" s="585">
        <v>2018</v>
      </c>
      <c r="M149" s="576" t="s">
        <v>218</v>
      </c>
      <c r="N149" s="576" t="s">
        <v>554</v>
      </c>
    </row>
    <row r="150" spans="1:14" ht="37.5" x14ac:dyDescent="0.25">
      <c r="A150" s="584"/>
      <c r="B150" s="426"/>
      <c r="C150" s="439"/>
      <c r="D150" s="117" t="s">
        <v>755</v>
      </c>
      <c r="E150" s="427"/>
      <c r="F150" s="87">
        <v>20.48</v>
      </c>
      <c r="G150" s="427"/>
      <c r="H150" s="101" t="s">
        <v>757</v>
      </c>
      <c r="I150" s="101">
        <v>48240.6</v>
      </c>
      <c r="J150" s="87">
        <v>13.241</v>
      </c>
      <c r="K150" s="367">
        <v>1.5</v>
      </c>
      <c r="L150" s="585"/>
      <c r="M150" s="580"/>
      <c r="N150" s="580"/>
    </row>
    <row r="151" spans="1:14" ht="18.75" x14ac:dyDescent="0.25">
      <c r="A151" s="584"/>
      <c r="B151" s="426"/>
      <c r="C151" s="439"/>
      <c r="D151" s="117" t="s">
        <v>756</v>
      </c>
      <c r="E151" s="427"/>
      <c r="F151" s="87">
        <v>11.589</v>
      </c>
      <c r="G151" s="427"/>
      <c r="H151" s="101" t="s">
        <v>758</v>
      </c>
      <c r="I151" s="101">
        <v>43200</v>
      </c>
      <c r="J151" s="87">
        <v>5.4359999999999999</v>
      </c>
      <c r="K151" s="367">
        <v>2</v>
      </c>
      <c r="L151" s="585"/>
      <c r="M151" s="577"/>
      <c r="N151" s="577"/>
    </row>
    <row r="152" spans="1:14" ht="19.5" x14ac:dyDescent="0.25">
      <c r="A152" s="402"/>
      <c r="B152" s="562" t="s">
        <v>555</v>
      </c>
      <c r="C152" s="564"/>
      <c r="D152" s="169"/>
      <c r="E152" s="47"/>
      <c r="F152" s="88">
        <f>SUM(F149:F151)</f>
        <v>822.69500000000005</v>
      </c>
      <c r="G152" s="47"/>
      <c r="H152" s="47"/>
      <c r="I152" s="47"/>
      <c r="J152" s="88">
        <f>SUM(J149:J151)</f>
        <v>113.95500000000001</v>
      </c>
      <c r="K152" s="47"/>
      <c r="L152" s="296"/>
      <c r="M152" s="293"/>
      <c r="N152" s="293"/>
    </row>
    <row r="153" spans="1:14" ht="25.5" customHeight="1" x14ac:dyDescent="0.25">
      <c r="A153" s="402">
        <v>47</v>
      </c>
      <c r="B153" s="108" t="s">
        <v>711</v>
      </c>
      <c r="C153" s="117" t="s">
        <v>759</v>
      </c>
      <c r="D153" s="117" t="s">
        <v>760</v>
      </c>
      <c r="E153" s="101" t="s">
        <v>761</v>
      </c>
      <c r="F153" s="87">
        <v>53</v>
      </c>
      <c r="G153" s="101" t="s">
        <v>762</v>
      </c>
      <c r="H153" s="101" t="s">
        <v>553</v>
      </c>
      <c r="I153" s="101">
        <v>2915000</v>
      </c>
      <c r="J153" s="87">
        <v>46.115000000000002</v>
      </c>
      <c r="K153" s="101">
        <v>1.1000000000000001</v>
      </c>
      <c r="L153" s="339">
        <v>2018</v>
      </c>
      <c r="M153" s="293" t="s">
        <v>1144</v>
      </c>
      <c r="N153" s="293" t="s">
        <v>554</v>
      </c>
    </row>
    <row r="154" spans="1:14" ht="19.5" x14ac:dyDescent="0.25">
      <c r="A154" s="402"/>
      <c r="B154" s="562" t="s">
        <v>555</v>
      </c>
      <c r="C154" s="564"/>
      <c r="D154" s="169"/>
      <c r="E154" s="47"/>
      <c r="F154" s="88">
        <f>SUM(F153)</f>
        <v>53</v>
      </c>
      <c r="G154" s="47"/>
      <c r="H154" s="47"/>
      <c r="I154" s="47"/>
      <c r="J154" s="88">
        <f>SUM(J153)</f>
        <v>46.115000000000002</v>
      </c>
      <c r="K154" s="47"/>
      <c r="L154" s="296"/>
      <c r="M154" s="293"/>
      <c r="N154" s="293"/>
    </row>
    <row r="155" spans="1:14" ht="58.5" customHeight="1" x14ac:dyDescent="0.25">
      <c r="A155" s="402">
        <v>48</v>
      </c>
      <c r="B155" s="108" t="s">
        <v>763</v>
      </c>
      <c r="C155" s="117" t="s">
        <v>764</v>
      </c>
      <c r="D155" s="117" t="s">
        <v>765</v>
      </c>
      <c r="E155" s="101" t="s">
        <v>763</v>
      </c>
      <c r="F155" s="87">
        <v>5.0659000000000001</v>
      </c>
      <c r="G155" s="101" t="s">
        <v>1971</v>
      </c>
      <c r="H155" s="101" t="s">
        <v>553</v>
      </c>
      <c r="I155" s="101">
        <v>160180</v>
      </c>
      <c r="J155" s="87">
        <v>3.0701999999999998</v>
      </c>
      <c r="K155" s="101">
        <v>1.6</v>
      </c>
      <c r="L155" s="339">
        <v>2018</v>
      </c>
      <c r="M155" s="293" t="s">
        <v>863</v>
      </c>
      <c r="N155" s="293" t="s">
        <v>554</v>
      </c>
    </row>
    <row r="156" spans="1:14" ht="19.5" x14ac:dyDescent="0.25">
      <c r="A156" s="402"/>
      <c r="B156" s="562" t="s">
        <v>555</v>
      </c>
      <c r="C156" s="564"/>
      <c r="D156" s="169"/>
      <c r="E156" s="47"/>
      <c r="F156" s="88">
        <f>SUM(F155)</f>
        <v>5.0659000000000001</v>
      </c>
      <c r="G156" s="47"/>
      <c r="H156" s="47"/>
      <c r="I156" s="47"/>
      <c r="J156" s="88">
        <f>SUM(J155)</f>
        <v>3.0701999999999998</v>
      </c>
      <c r="K156" s="47"/>
      <c r="L156" s="296"/>
      <c r="M156" s="293"/>
      <c r="N156" s="293"/>
    </row>
    <row r="157" spans="1:14" ht="37.5" x14ac:dyDescent="0.25">
      <c r="A157" s="402">
        <v>49</v>
      </c>
      <c r="B157" s="108" t="s">
        <v>766</v>
      </c>
      <c r="C157" s="117" t="s">
        <v>767</v>
      </c>
      <c r="D157" s="117" t="s">
        <v>768</v>
      </c>
      <c r="E157" s="101" t="s">
        <v>769</v>
      </c>
      <c r="F157" s="87">
        <v>22.5</v>
      </c>
      <c r="G157" s="101" t="s">
        <v>1971</v>
      </c>
      <c r="H157" s="101" t="s">
        <v>553</v>
      </c>
      <c r="I157" s="101">
        <v>592130</v>
      </c>
      <c r="J157" s="87">
        <v>7.0940000000000003</v>
      </c>
      <c r="K157" s="101">
        <v>3.17</v>
      </c>
      <c r="L157" s="339">
        <v>2018</v>
      </c>
      <c r="M157" s="293" t="s">
        <v>218</v>
      </c>
      <c r="N157" s="293" t="s">
        <v>554</v>
      </c>
    </row>
    <row r="158" spans="1:14" ht="19.5" x14ac:dyDescent="0.25">
      <c r="A158" s="402"/>
      <c r="B158" s="562" t="s">
        <v>555</v>
      </c>
      <c r="C158" s="564"/>
      <c r="D158" s="169"/>
      <c r="E158" s="47"/>
      <c r="F158" s="88">
        <f>SUM(F157)</f>
        <v>22.5</v>
      </c>
      <c r="G158" s="47"/>
      <c r="H158" s="47"/>
      <c r="I158" s="47"/>
      <c r="J158" s="88">
        <f>SUM(J157)</f>
        <v>7.0940000000000003</v>
      </c>
      <c r="K158" s="47"/>
      <c r="L158" s="296"/>
      <c r="M158" s="293"/>
      <c r="N158" s="293"/>
    </row>
    <row r="159" spans="1:14" ht="25.5" customHeight="1" x14ac:dyDescent="0.25">
      <c r="A159" s="586">
        <v>50</v>
      </c>
      <c r="B159" s="452" t="s">
        <v>770</v>
      </c>
      <c r="C159" s="454" t="s">
        <v>771</v>
      </c>
      <c r="D159" s="117" t="s">
        <v>772</v>
      </c>
      <c r="E159" s="449" t="s">
        <v>770</v>
      </c>
      <c r="F159" s="87">
        <v>3.3889999999999998</v>
      </c>
      <c r="G159" s="449" t="s">
        <v>1971</v>
      </c>
      <c r="H159" s="101" t="s">
        <v>553</v>
      </c>
      <c r="I159" s="101">
        <v>400000</v>
      </c>
      <c r="J159" s="87">
        <v>1.24089</v>
      </c>
      <c r="K159" s="101">
        <v>2.6</v>
      </c>
      <c r="L159" s="499">
        <v>2018</v>
      </c>
      <c r="M159" s="576" t="s">
        <v>1956</v>
      </c>
      <c r="N159" s="576" t="s">
        <v>554</v>
      </c>
    </row>
    <row r="160" spans="1:14" ht="15.75" customHeight="1" x14ac:dyDescent="0.25">
      <c r="A160" s="587"/>
      <c r="B160" s="571"/>
      <c r="C160" s="512"/>
      <c r="D160" s="454" t="s">
        <v>773</v>
      </c>
      <c r="E160" s="490"/>
      <c r="F160" s="530">
        <v>948.65</v>
      </c>
      <c r="G160" s="490"/>
      <c r="H160" s="101" t="s">
        <v>553</v>
      </c>
      <c r="I160" s="101">
        <v>2736800</v>
      </c>
      <c r="J160" s="87">
        <v>8.4730000000000008</v>
      </c>
      <c r="K160" s="449">
        <v>5.3</v>
      </c>
      <c r="L160" s="500"/>
      <c r="M160" s="580"/>
      <c r="N160" s="580"/>
    </row>
    <row r="161" spans="1:14" ht="15.75" customHeight="1" x14ac:dyDescent="0.25">
      <c r="A161" s="588"/>
      <c r="B161" s="434"/>
      <c r="C161" s="455"/>
      <c r="D161" s="455"/>
      <c r="E161" s="433"/>
      <c r="F161" s="530"/>
      <c r="G161" s="433"/>
      <c r="H161" s="101" t="s">
        <v>236</v>
      </c>
      <c r="I161" s="101">
        <v>799040</v>
      </c>
      <c r="J161" s="87">
        <v>167.39500000000001</v>
      </c>
      <c r="K161" s="433"/>
      <c r="L161" s="501"/>
      <c r="M161" s="577"/>
      <c r="N161" s="577"/>
    </row>
    <row r="162" spans="1:14" ht="19.5" x14ac:dyDescent="0.25">
      <c r="A162" s="402"/>
      <c r="B162" s="562" t="s">
        <v>555</v>
      </c>
      <c r="C162" s="564"/>
      <c r="D162" s="169"/>
      <c r="E162" s="47"/>
      <c r="F162" s="88">
        <f>SUM(F159:F161)</f>
        <v>952.03899999999999</v>
      </c>
      <c r="G162" s="47"/>
      <c r="H162" s="47"/>
      <c r="I162" s="47"/>
      <c r="J162" s="88">
        <f>SUM(J159:J161)</f>
        <v>177.10889</v>
      </c>
      <c r="K162" s="47"/>
      <c r="L162" s="296"/>
      <c r="M162" s="293"/>
      <c r="N162" s="293"/>
    </row>
    <row r="163" spans="1:14" ht="37.5" x14ac:dyDescent="0.25">
      <c r="A163" s="101">
        <v>51</v>
      </c>
      <c r="B163" s="108" t="s">
        <v>774</v>
      </c>
      <c r="C163" s="117" t="s">
        <v>775</v>
      </c>
      <c r="D163" s="117" t="s">
        <v>776</v>
      </c>
      <c r="E163" s="101" t="s">
        <v>774</v>
      </c>
      <c r="F163" s="87">
        <v>6.5183999999999997</v>
      </c>
      <c r="G163" s="101" t="s">
        <v>1971</v>
      </c>
      <c r="H163" s="101" t="s">
        <v>553</v>
      </c>
      <c r="I163" s="101">
        <v>383423</v>
      </c>
      <c r="J163" s="87">
        <v>6.5182000000000002</v>
      </c>
      <c r="K163" s="101">
        <v>1</v>
      </c>
      <c r="L163" s="339">
        <v>2018</v>
      </c>
      <c r="M163" s="293" t="s">
        <v>1834</v>
      </c>
      <c r="N163" s="293" t="s">
        <v>554</v>
      </c>
    </row>
    <row r="164" spans="1:14" ht="19.5" x14ac:dyDescent="0.25">
      <c r="A164" s="402"/>
      <c r="B164" s="562" t="s">
        <v>555</v>
      </c>
      <c r="C164" s="564"/>
      <c r="D164" s="169"/>
      <c r="E164" s="47"/>
      <c r="F164" s="88">
        <f>SUM(F163)</f>
        <v>6.5183999999999997</v>
      </c>
      <c r="G164" s="47"/>
      <c r="H164" s="47"/>
      <c r="I164" s="47"/>
      <c r="J164" s="88">
        <f>SUM(J163)</f>
        <v>6.5182000000000002</v>
      </c>
      <c r="K164" s="47"/>
      <c r="L164" s="296"/>
      <c r="M164" s="293"/>
      <c r="N164" s="293"/>
    </row>
    <row r="165" spans="1:14" ht="37.5" customHeight="1" x14ac:dyDescent="0.25">
      <c r="A165" s="582">
        <v>52</v>
      </c>
      <c r="B165" s="452" t="s">
        <v>777</v>
      </c>
      <c r="C165" s="454" t="s">
        <v>778</v>
      </c>
      <c r="D165" s="117" t="s">
        <v>691</v>
      </c>
      <c r="E165" s="449" t="s">
        <v>777</v>
      </c>
      <c r="F165" s="87">
        <v>0.64400000000000002</v>
      </c>
      <c r="G165" s="449" t="s">
        <v>1971</v>
      </c>
      <c r="H165" s="101" t="s">
        <v>553</v>
      </c>
      <c r="I165" s="101">
        <v>1302</v>
      </c>
      <c r="J165" s="87">
        <v>0.23799999999999999</v>
      </c>
      <c r="K165" s="101">
        <v>2.7</v>
      </c>
      <c r="L165" s="499">
        <v>2018</v>
      </c>
      <c r="M165" s="576" t="s">
        <v>861</v>
      </c>
      <c r="N165" s="576" t="s">
        <v>554</v>
      </c>
    </row>
    <row r="166" spans="1:14" ht="25.5" customHeight="1" x14ac:dyDescent="0.25">
      <c r="A166" s="583"/>
      <c r="B166" s="434"/>
      <c r="C166" s="455"/>
      <c r="D166" s="117" t="s">
        <v>779</v>
      </c>
      <c r="E166" s="433"/>
      <c r="F166" s="87">
        <v>5.58</v>
      </c>
      <c r="G166" s="433"/>
      <c r="H166" s="101" t="s">
        <v>553</v>
      </c>
      <c r="I166" s="101">
        <v>45713</v>
      </c>
      <c r="J166" s="87">
        <v>0.83699999999999997</v>
      </c>
      <c r="K166" s="101">
        <v>6.6</v>
      </c>
      <c r="L166" s="501"/>
      <c r="M166" s="577"/>
      <c r="N166" s="577"/>
    </row>
    <row r="167" spans="1:14" ht="19.5" x14ac:dyDescent="0.25">
      <c r="A167" s="402"/>
      <c r="B167" s="562" t="s">
        <v>555</v>
      </c>
      <c r="C167" s="564"/>
      <c r="D167" s="169"/>
      <c r="E167" s="47"/>
      <c r="F167" s="88">
        <f>SUM(F165:F166)</f>
        <v>6.2240000000000002</v>
      </c>
      <c r="G167" s="47"/>
      <c r="H167" s="47"/>
      <c r="I167" s="47"/>
      <c r="J167" s="88">
        <f>SUM(J165:J166)</f>
        <v>1.075</v>
      </c>
      <c r="K167" s="47"/>
      <c r="L167" s="296"/>
      <c r="M167" s="293"/>
      <c r="N167" s="293"/>
    </row>
    <row r="168" spans="1:14" ht="18.75" x14ac:dyDescent="0.25">
      <c r="A168" s="449">
        <v>53</v>
      </c>
      <c r="B168" s="452" t="s">
        <v>780</v>
      </c>
      <c r="C168" s="454" t="s">
        <v>781</v>
      </c>
      <c r="D168" s="117" t="s">
        <v>2235</v>
      </c>
      <c r="E168" s="449" t="s">
        <v>784</v>
      </c>
      <c r="F168" s="87">
        <v>5.4249999999999998</v>
      </c>
      <c r="G168" s="449" t="s">
        <v>1972</v>
      </c>
      <c r="H168" s="101" t="s">
        <v>37</v>
      </c>
      <c r="I168" s="101">
        <v>162.72</v>
      </c>
      <c r="J168" s="87">
        <v>0.84899999999999998</v>
      </c>
      <c r="K168" s="101">
        <v>6.39</v>
      </c>
      <c r="L168" s="499">
        <v>2018</v>
      </c>
      <c r="M168" s="576" t="s">
        <v>1956</v>
      </c>
      <c r="N168" s="576" t="s">
        <v>554</v>
      </c>
    </row>
    <row r="169" spans="1:14" ht="63.75" customHeight="1" x14ac:dyDescent="0.25">
      <c r="A169" s="490"/>
      <c r="B169" s="571"/>
      <c r="C169" s="512"/>
      <c r="D169" s="117" t="s">
        <v>782</v>
      </c>
      <c r="E169" s="490"/>
      <c r="F169" s="87">
        <v>12.648</v>
      </c>
      <c r="G169" s="490"/>
      <c r="H169" s="101" t="s">
        <v>37</v>
      </c>
      <c r="I169" s="101">
        <v>363.54</v>
      </c>
      <c r="J169" s="87">
        <v>1.897</v>
      </c>
      <c r="K169" s="101">
        <v>6.7</v>
      </c>
      <c r="L169" s="500"/>
      <c r="M169" s="580"/>
      <c r="N169" s="580"/>
    </row>
    <row r="170" spans="1:14" ht="18.75" x14ac:dyDescent="0.25">
      <c r="A170" s="433"/>
      <c r="B170" s="434"/>
      <c r="C170" s="455"/>
      <c r="D170" s="117" t="s">
        <v>783</v>
      </c>
      <c r="E170" s="433"/>
      <c r="F170" s="87">
        <v>23.367999999999999</v>
      </c>
      <c r="G170" s="433"/>
      <c r="H170" s="101" t="s">
        <v>553</v>
      </c>
      <c r="I170" s="101">
        <v>286727.59999999998</v>
      </c>
      <c r="J170" s="87">
        <v>4.673</v>
      </c>
      <c r="K170" s="101">
        <v>5</v>
      </c>
      <c r="L170" s="501"/>
      <c r="M170" s="577"/>
      <c r="N170" s="577"/>
    </row>
    <row r="171" spans="1:14" ht="19.5" x14ac:dyDescent="0.25">
      <c r="A171" s="402"/>
      <c r="B171" s="562" t="s">
        <v>555</v>
      </c>
      <c r="C171" s="564"/>
      <c r="D171" s="169"/>
      <c r="E171" s="47"/>
      <c r="F171" s="88">
        <f>SUM(F168:F170)</f>
        <v>41.441000000000003</v>
      </c>
      <c r="G171" s="47"/>
      <c r="H171" s="47"/>
      <c r="I171" s="47"/>
      <c r="J171" s="88">
        <f>SUM(J168:J170)</f>
        <v>7.4190000000000005</v>
      </c>
      <c r="K171" s="47"/>
      <c r="L171" s="296"/>
      <c r="M171" s="293"/>
      <c r="N171" s="293"/>
    </row>
    <row r="172" spans="1:14" ht="18.75" x14ac:dyDescent="0.25">
      <c r="A172" s="101">
        <v>54</v>
      </c>
      <c r="B172" s="108" t="s">
        <v>785</v>
      </c>
      <c r="C172" s="117" t="s">
        <v>786</v>
      </c>
      <c r="D172" s="117" t="s">
        <v>787</v>
      </c>
      <c r="E172" s="101" t="s">
        <v>785</v>
      </c>
      <c r="F172" s="87">
        <v>1.3380000000000001</v>
      </c>
      <c r="G172" s="101" t="s">
        <v>1971</v>
      </c>
      <c r="H172" s="101" t="s">
        <v>553</v>
      </c>
      <c r="I172" s="101">
        <v>49464</v>
      </c>
      <c r="J172" s="87">
        <v>0.83199999999999996</v>
      </c>
      <c r="K172" s="101">
        <v>1.7</v>
      </c>
      <c r="L172" s="339">
        <v>2018</v>
      </c>
      <c r="M172" s="293" t="s">
        <v>863</v>
      </c>
      <c r="N172" s="293" t="s">
        <v>554</v>
      </c>
    </row>
    <row r="173" spans="1:14" ht="19.5" x14ac:dyDescent="0.25">
      <c r="A173" s="402"/>
      <c r="B173" s="562" t="s">
        <v>555</v>
      </c>
      <c r="C173" s="564"/>
      <c r="D173" s="169"/>
      <c r="E173" s="47"/>
      <c r="F173" s="88">
        <v>1.3380000000000001</v>
      </c>
      <c r="G173" s="47"/>
      <c r="H173" s="47"/>
      <c r="I173" s="47"/>
      <c r="J173" s="88">
        <f>SUM(J172)</f>
        <v>0.83199999999999996</v>
      </c>
      <c r="K173" s="47"/>
      <c r="L173" s="296"/>
      <c r="M173" s="293"/>
      <c r="N173" s="293"/>
    </row>
    <row r="174" spans="1:14" ht="18.75" x14ac:dyDescent="0.25">
      <c r="A174" s="427">
        <v>55</v>
      </c>
      <c r="B174" s="452" t="s">
        <v>788</v>
      </c>
      <c r="C174" s="439" t="s">
        <v>789</v>
      </c>
      <c r="D174" s="117" t="s">
        <v>790</v>
      </c>
      <c r="E174" s="449" t="s">
        <v>788</v>
      </c>
      <c r="F174" s="87">
        <v>0.433</v>
      </c>
      <c r="G174" s="449" t="s">
        <v>1971</v>
      </c>
      <c r="H174" s="101" t="s">
        <v>553</v>
      </c>
      <c r="I174" s="101">
        <v>26765</v>
      </c>
      <c r="J174" s="87">
        <v>0.222</v>
      </c>
      <c r="K174" s="101">
        <v>2</v>
      </c>
      <c r="L174" s="499">
        <v>2018</v>
      </c>
      <c r="M174" s="576" t="s">
        <v>863</v>
      </c>
      <c r="N174" s="576" t="s">
        <v>554</v>
      </c>
    </row>
    <row r="175" spans="1:14" ht="25.5" customHeight="1" x14ac:dyDescent="0.25">
      <c r="A175" s="427"/>
      <c r="B175" s="571"/>
      <c r="C175" s="439"/>
      <c r="D175" s="117" t="s">
        <v>791</v>
      </c>
      <c r="E175" s="490"/>
      <c r="F175" s="87">
        <v>6.5000000000000002E-2</v>
      </c>
      <c r="G175" s="490"/>
      <c r="H175" s="101" t="s">
        <v>37</v>
      </c>
      <c r="I175" s="101">
        <v>4.4889999999999999</v>
      </c>
      <c r="J175" s="87">
        <v>3.5999999999999997E-2</v>
      </c>
      <c r="K175" s="101">
        <v>1.7</v>
      </c>
      <c r="L175" s="500"/>
      <c r="M175" s="580"/>
      <c r="N175" s="580"/>
    </row>
    <row r="176" spans="1:14" ht="37.5" x14ac:dyDescent="0.25">
      <c r="A176" s="427"/>
      <c r="B176" s="571"/>
      <c r="C176" s="439"/>
      <c r="D176" s="117" t="s">
        <v>792</v>
      </c>
      <c r="E176" s="490"/>
      <c r="F176" s="87">
        <v>0.28399999999999997</v>
      </c>
      <c r="G176" s="490"/>
      <c r="H176" s="101" t="s">
        <v>37</v>
      </c>
      <c r="I176" s="101">
        <v>22.16</v>
      </c>
      <c r="J176" s="87">
        <v>0.182</v>
      </c>
      <c r="K176" s="101">
        <v>1.6</v>
      </c>
      <c r="L176" s="500"/>
      <c r="M176" s="580"/>
      <c r="N176" s="580"/>
    </row>
    <row r="177" spans="1:14" ht="25.5" customHeight="1" x14ac:dyDescent="0.25">
      <c r="A177" s="427"/>
      <c r="B177" s="571"/>
      <c r="C177" s="439"/>
      <c r="D177" s="117" t="s">
        <v>793</v>
      </c>
      <c r="E177" s="490"/>
      <c r="F177" s="87">
        <v>1.84</v>
      </c>
      <c r="G177" s="490"/>
      <c r="H177" s="101" t="s">
        <v>37</v>
      </c>
      <c r="I177" s="101">
        <v>20.835000000000001</v>
      </c>
      <c r="J177" s="87">
        <v>0.17100000000000001</v>
      </c>
      <c r="K177" s="101">
        <v>10.9</v>
      </c>
      <c r="L177" s="500"/>
      <c r="M177" s="577"/>
      <c r="N177" s="577"/>
    </row>
    <row r="178" spans="1:14" ht="19.5" x14ac:dyDescent="0.25">
      <c r="A178" s="402"/>
      <c r="B178" s="562" t="s">
        <v>555</v>
      </c>
      <c r="C178" s="564"/>
      <c r="D178" s="169"/>
      <c r="E178" s="47"/>
      <c r="F178" s="88">
        <f>SUM(F174:F177)</f>
        <v>2.6219999999999999</v>
      </c>
      <c r="G178" s="47"/>
      <c r="H178" s="47"/>
      <c r="I178" s="47"/>
      <c r="J178" s="88">
        <f>SUM(J174:J177)</f>
        <v>0.61099999999999999</v>
      </c>
      <c r="K178" s="47"/>
      <c r="L178" s="296"/>
      <c r="M178" s="293"/>
      <c r="N178" s="293"/>
    </row>
    <row r="179" spans="1:14" ht="69" customHeight="1" x14ac:dyDescent="0.25">
      <c r="A179" s="101">
        <v>56</v>
      </c>
      <c r="B179" s="108" t="s">
        <v>794</v>
      </c>
      <c r="C179" s="117" t="s">
        <v>795</v>
      </c>
      <c r="D179" s="117" t="s">
        <v>796</v>
      </c>
      <c r="E179" s="101" t="s">
        <v>794</v>
      </c>
      <c r="F179" s="87">
        <v>16.344999999999999</v>
      </c>
      <c r="G179" s="101" t="s">
        <v>1971</v>
      </c>
      <c r="H179" s="101" t="s">
        <v>553</v>
      </c>
      <c r="I179" s="101">
        <v>873422</v>
      </c>
      <c r="J179" s="87">
        <v>9.7729999999999997</v>
      </c>
      <c r="K179" s="101">
        <v>1.67</v>
      </c>
      <c r="L179" s="339">
        <v>2018</v>
      </c>
      <c r="M179" s="293" t="s">
        <v>1955</v>
      </c>
      <c r="N179" s="293" t="s">
        <v>554</v>
      </c>
    </row>
    <row r="180" spans="1:14" ht="19.5" x14ac:dyDescent="0.25">
      <c r="A180" s="402"/>
      <c r="B180" s="562" t="s">
        <v>555</v>
      </c>
      <c r="C180" s="564"/>
      <c r="D180" s="169"/>
      <c r="E180" s="47"/>
      <c r="F180" s="88">
        <v>16.344999999999999</v>
      </c>
      <c r="G180" s="47"/>
      <c r="H180" s="47"/>
      <c r="I180" s="47"/>
      <c r="J180" s="88">
        <f>SUM(J179)</f>
        <v>9.7729999999999997</v>
      </c>
      <c r="K180" s="47"/>
      <c r="L180" s="296"/>
      <c r="M180" s="293"/>
      <c r="N180" s="293"/>
    </row>
    <row r="181" spans="1:14" ht="48" customHeight="1" x14ac:dyDescent="0.25">
      <c r="A181" s="101">
        <v>57</v>
      </c>
      <c r="B181" s="108" t="s">
        <v>797</v>
      </c>
      <c r="C181" s="117" t="s">
        <v>798</v>
      </c>
      <c r="D181" s="117" t="s">
        <v>799</v>
      </c>
      <c r="E181" s="101" t="s">
        <v>797</v>
      </c>
      <c r="F181" s="87">
        <v>774.447</v>
      </c>
      <c r="G181" s="101" t="s">
        <v>1971</v>
      </c>
      <c r="H181" s="101" t="s">
        <v>37</v>
      </c>
      <c r="I181" s="101">
        <v>9330</v>
      </c>
      <c r="J181" s="87">
        <v>53.7</v>
      </c>
      <c r="K181" s="101">
        <v>14</v>
      </c>
      <c r="L181" s="298">
        <v>2018</v>
      </c>
      <c r="M181" s="293" t="s">
        <v>864</v>
      </c>
      <c r="N181" s="293" t="s">
        <v>554</v>
      </c>
    </row>
    <row r="182" spans="1:14" ht="19.5" x14ac:dyDescent="0.25">
      <c r="A182" s="402"/>
      <c r="B182" s="562" t="s">
        <v>555</v>
      </c>
      <c r="C182" s="564"/>
      <c r="D182" s="169"/>
      <c r="E182" s="47"/>
      <c r="F182" s="88">
        <v>774.447</v>
      </c>
      <c r="G182" s="47"/>
      <c r="H182" s="47"/>
      <c r="I182" s="47"/>
      <c r="J182" s="88">
        <f>SUM(J181)</f>
        <v>53.7</v>
      </c>
      <c r="K182" s="47"/>
      <c r="L182" s="296"/>
      <c r="M182" s="293"/>
      <c r="N182" s="293"/>
    </row>
    <row r="183" spans="1:14" ht="25.5" customHeight="1" x14ac:dyDescent="0.25">
      <c r="A183" s="101">
        <v>58</v>
      </c>
      <c r="B183" s="108" t="s">
        <v>800</v>
      </c>
      <c r="C183" s="117" t="s">
        <v>801</v>
      </c>
      <c r="D183" s="117" t="s">
        <v>776</v>
      </c>
      <c r="E183" s="101" t="s">
        <v>800</v>
      </c>
      <c r="F183" s="87">
        <v>6.3840000000000003</v>
      </c>
      <c r="G183" s="101" t="s">
        <v>1971</v>
      </c>
      <c r="H183" s="101" t="s">
        <v>553</v>
      </c>
      <c r="I183" s="101">
        <v>397214</v>
      </c>
      <c r="J183" s="87">
        <v>4.468</v>
      </c>
      <c r="K183" s="101">
        <v>1.4</v>
      </c>
      <c r="L183" s="339">
        <v>2018</v>
      </c>
      <c r="M183" s="293" t="s">
        <v>865</v>
      </c>
      <c r="N183" s="293" t="s">
        <v>554</v>
      </c>
    </row>
    <row r="184" spans="1:14" ht="19.5" x14ac:dyDescent="0.25">
      <c r="A184" s="402"/>
      <c r="B184" s="562" t="s">
        <v>555</v>
      </c>
      <c r="C184" s="564"/>
      <c r="D184" s="169"/>
      <c r="E184" s="47"/>
      <c r="F184" s="88">
        <v>6.3840000000000003</v>
      </c>
      <c r="G184" s="47"/>
      <c r="H184" s="47"/>
      <c r="I184" s="47"/>
      <c r="J184" s="88">
        <f>SUM(J183)</f>
        <v>4.468</v>
      </c>
      <c r="K184" s="47"/>
      <c r="L184" s="296"/>
      <c r="M184" s="293"/>
      <c r="N184" s="293"/>
    </row>
    <row r="185" spans="1:14" ht="18.75" x14ac:dyDescent="0.25">
      <c r="A185" s="101">
        <v>59</v>
      </c>
      <c r="B185" s="108" t="s">
        <v>802</v>
      </c>
      <c r="C185" s="117" t="s">
        <v>803</v>
      </c>
      <c r="D185" s="117" t="s">
        <v>804</v>
      </c>
      <c r="E185" s="101" t="s">
        <v>802</v>
      </c>
      <c r="F185" s="87">
        <v>8.3469999999999995</v>
      </c>
      <c r="G185" s="101" t="s">
        <v>1971</v>
      </c>
      <c r="H185" s="101" t="s">
        <v>553</v>
      </c>
      <c r="I185" s="101">
        <v>241875.8</v>
      </c>
      <c r="J185" s="87">
        <v>2.4689999999999999</v>
      </c>
      <c r="K185" s="101">
        <v>3.38</v>
      </c>
      <c r="L185" s="339">
        <v>2018</v>
      </c>
      <c r="M185" s="293" t="s">
        <v>864</v>
      </c>
      <c r="N185" s="293" t="s">
        <v>554</v>
      </c>
    </row>
    <row r="186" spans="1:14" ht="19.5" x14ac:dyDescent="0.25">
      <c r="A186" s="402"/>
      <c r="B186" s="562" t="s">
        <v>555</v>
      </c>
      <c r="C186" s="564"/>
      <c r="D186" s="169"/>
      <c r="E186" s="47"/>
      <c r="F186" s="88">
        <v>8.3469999999999995</v>
      </c>
      <c r="G186" s="47"/>
      <c r="H186" s="47"/>
      <c r="I186" s="47"/>
      <c r="J186" s="88">
        <f>SUM(J185)</f>
        <v>2.4689999999999999</v>
      </c>
      <c r="K186" s="47"/>
      <c r="L186" s="296"/>
      <c r="M186" s="293"/>
      <c r="N186" s="293"/>
    </row>
    <row r="187" spans="1:14" ht="30" customHeight="1" x14ac:dyDescent="0.25">
      <c r="A187" s="582">
        <v>60</v>
      </c>
      <c r="B187" s="452" t="s">
        <v>805</v>
      </c>
      <c r="C187" s="454" t="s">
        <v>806</v>
      </c>
      <c r="D187" s="117" t="s">
        <v>637</v>
      </c>
      <c r="E187" s="449" t="s">
        <v>805</v>
      </c>
      <c r="F187" s="87">
        <v>0.17499999999999999</v>
      </c>
      <c r="G187" s="449" t="s">
        <v>1971</v>
      </c>
      <c r="H187" s="101" t="s">
        <v>553</v>
      </c>
      <c r="I187" s="101">
        <v>48399</v>
      </c>
      <c r="J187" s="87">
        <v>0.82199999999999995</v>
      </c>
      <c r="K187" s="101">
        <v>0.2</v>
      </c>
      <c r="L187" s="499">
        <v>2018</v>
      </c>
      <c r="M187" s="576" t="s">
        <v>864</v>
      </c>
      <c r="N187" s="576" t="s">
        <v>554</v>
      </c>
    </row>
    <row r="188" spans="1:14" ht="37.5" x14ac:dyDescent="0.25">
      <c r="A188" s="583"/>
      <c r="B188" s="434"/>
      <c r="C188" s="455"/>
      <c r="D188" s="117" t="s">
        <v>807</v>
      </c>
      <c r="E188" s="433"/>
      <c r="F188" s="87">
        <v>0.37</v>
      </c>
      <c r="G188" s="433"/>
      <c r="H188" s="101" t="s">
        <v>553</v>
      </c>
      <c r="I188" s="101">
        <v>14782.5</v>
      </c>
      <c r="J188" s="87">
        <v>0.251</v>
      </c>
      <c r="K188" s="101">
        <v>0.15</v>
      </c>
      <c r="L188" s="501"/>
      <c r="M188" s="577"/>
      <c r="N188" s="577"/>
    </row>
    <row r="189" spans="1:14" ht="19.5" x14ac:dyDescent="0.25">
      <c r="A189" s="402"/>
      <c r="B189" s="562" t="s">
        <v>555</v>
      </c>
      <c r="C189" s="564"/>
      <c r="D189" s="169"/>
      <c r="E189" s="47"/>
      <c r="F189" s="88">
        <f>SUM(F187:F188)</f>
        <v>0.54499999999999993</v>
      </c>
      <c r="G189" s="47"/>
      <c r="H189" s="47"/>
      <c r="I189" s="47"/>
      <c r="J189" s="88">
        <f>SUM(J187:J188)</f>
        <v>1.073</v>
      </c>
      <c r="K189" s="47"/>
      <c r="L189" s="296"/>
      <c r="M189" s="293"/>
      <c r="N189" s="293"/>
    </row>
    <row r="190" spans="1:14" ht="33.75" customHeight="1" x14ac:dyDescent="0.25">
      <c r="A190" s="101">
        <v>61</v>
      </c>
      <c r="B190" s="108" t="s">
        <v>808</v>
      </c>
      <c r="C190" s="117" t="s">
        <v>809</v>
      </c>
      <c r="D190" s="117" t="s">
        <v>810</v>
      </c>
      <c r="E190" s="101" t="s">
        <v>811</v>
      </c>
      <c r="F190" s="87">
        <v>109.994</v>
      </c>
      <c r="G190" s="101" t="s">
        <v>1971</v>
      </c>
      <c r="H190" s="101" t="s">
        <v>553</v>
      </c>
      <c r="I190" s="101">
        <v>6342700</v>
      </c>
      <c r="J190" s="87">
        <v>52.643999999999998</v>
      </c>
      <c r="K190" s="101">
        <v>2.4</v>
      </c>
      <c r="L190" s="339">
        <v>2018</v>
      </c>
      <c r="M190" s="293" t="s">
        <v>861</v>
      </c>
      <c r="N190" s="293" t="s">
        <v>554</v>
      </c>
    </row>
    <row r="191" spans="1:14" ht="19.5" x14ac:dyDescent="0.25">
      <c r="A191" s="402"/>
      <c r="B191" s="562" t="s">
        <v>555</v>
      </c>
      <c r="C191" s="564"/>
      <c r="D191" s="169"/>
      <c r="E191" s="47"/>
      <c r="F191" s="88">
        <f>SUM(F190)</f>
        <v>109.994</v>
      </c>
      <c r="G191" s="47"/>
      <c r="H191" s="47"/>
      <c r="I191" s="47"/>
      <c r="J191" s="88">
        <f>SUM(J190)</f>
        <v>52.643999999999998</v>
      </c>
      <c r="K191" s="47"/>
      <c r="L191" s="296"/>
      <c r="M191" s="293"/>
      <c r="N191" s="293"/>
    </row>
    <row r="192" spans="1:14" ht="54.75" customHeight="1" x14ac:dyDescent="0.25">
      <c r="A192" s="449">
        <v>62</v>
      </c>
      <c r="B192" s="452" t="s">
        <v>812</v>
      </c>
      <c r="C192" s="454" t="s">
        <v>813</v>
      </c>
      <c r="D192" s="117" t="s">
        <v>814</v>
      </c>
      <c r="E192" s="449" t="s">
        <v>1408</v>
      </c>
      <c r="F192" s="87">
        <v>0.85</v>
      </c>
      <c r="G192" s="449" t="s">
        <v>1970</v>
      </c>
      <c r="H192" s="101" t="s">
        <v>37</v>
      </c>
      <c r="I192" s="101">
        <v>34.630000000000003</v>
      </c>
      <c r="J192" s="87">
        <v>0.38800000000000001</v>
      </c>
      <c r="K192" s="101">
        <v>2.1800000000000002</v>
      </c>
      <c r="L192" s="499">
        <v>2018</v>
      </c>
      <c r="M192" s="576" t="s">
        <v>864</v>
      </c>
      <c r="N192" s="576" t="s">
        <v>554</v>
      </c>
    </row>
    <row r="193" spans="1:14" ht="72" customHeight="1" x14ac:dyDescent="0.25">
      <c r="A193" s="433"/>
      <c r="B193" s="434"/>
      <c r="C193" s="455"/>
      <c r="D193" s="117" t="s">
        <v>815</v>
      </c>
      <c r="E193" s="433"/>
      <c r="F193" s="87">
        <v>0.39</v>
      </c>
      <c r="G193" s="433"/>
      <c r="H193" s="101" t="s">
        <v>283</v>
      </c>
      <c r="I193" s="101">
        <v>6578</v>
      </c>
      <c r="J193" s="87">
        <v>0.19</v>
      </c>
      <c r="K193" s="101">
        <v>2</v>
      </c>
      <c r="L193" s="501"/>
      <c r="M193" s="577"/>
      <c r="N193" s="577"/>
    </row>
    <row r="194" spans="1:14" ht="19.5" x14ac:dyDescent="0.25">
      <c r="A194" s="101"/>
      <c r="B194" s="562" t="s">
        <v>555</v>
      </c>
      <c r="C194" s="564"/>
      <c r="D194" s="169"/>
      <c r="E194" s="47"/>
      <c r="F194" s="88">
        <f>SUM(F192:F193)</f>
        <v>1.24</v>
      </c>
      <c r="G194" s="47"/>
      <c r="H194" s="47"/>
      <c r="I194" s="47"/>
      <c r="J194" s="88">
        <f>SUM(J192:J193)</f>
        <v>0.57800000000000007</v>
      </c>
      <c r="K194" s="47"/>
      <c r="L194" s="296"/>
      <c r="M194" s="293"/>
      <c r="N194" s="293"/>
    </row>
    <row r="195" spans="1:14" ht="18.75" x14ac:dyDescent="0.25">
      <c r="A195" s="101">
        <v>63</v>
      </c>
      <c r="B195" s="108" t="s">
        <v>816</v>
      </c>
      <c r="C195" s="117" t="s">
        <v>817</v>
      </c>
      <c r="D195" s="117" t="s">
        <v>818</v>
      </c>
      <c r="E195" s="101" t="s">
        <v>816</v>
      </c>
      <c r="F195" s="87">
        <v>1.117</v>
      </c>
      <c r="G195" s="101" t="s">
        <v>1971</v>
      </c>
      <c r="H195" s="101" t="s">
        <v>553</v>
      </c>
      <c r="I195" s="101">
        <v>44852</v>
      </c>
      <c r="J195" s="87">
        <v>0.82099999999999995</v>
      </c>
      <c r="K195" s="101">
        <v>1.4</v>
      </c>
      <c r="L195" s="339">
        <v>2018</v>
      </c>
      <c r="M195" s="293" t="s">
        <v>1834</v>
      </c>
      <c r="N195" s="293" t="s">
        <v>554</v>
      </c>
    </row>
    <row r="196" spans="1:14" ht="19.5" x14ac:dyDescent="0.25">
      <c r="A196" s="101"/>
      <c r="B196" s="562" t="s">
        <v>555</v>
      </c>
      <c r="C196" s="564"/>
      <c r="D196" s="169"/>
      <c r="E196" s="47"/>
      <c r="F196" s="88">
        <v>1.117</v>
      </c>
      <c r="G196" s="47"/>
      <c r="H196" s="47"/>
      <c r="I196" s="47"/>
      <c r="J196" s="88">
        <f>SUM(J195)</f>
        <v>0.82099999999999995</v>
      </c>
      <c r="K196" s="47"/>
      <c r="L196" s="296"/>
      <c r="M196" s="293"/>
      <c r="N196" s="293"/>
    </row>
    <row r="197" spans="1:14" ht="18.75" x14ac:dyDescent="0.25">
      <c r="A197" s="101">
        <v>64</v>
      </c>
      <c r="B197" s="108" t="s">
        <v>819</v>
      </c>
      <c r="C197" s="117" t="s">
        <v>820</v>
      </c>
      <c r="D197" s="117" t="s">
        <v>821</v>
      </c>
      <c r="E197" s="101" t="s">
        <v>819</v>
      </c>
      <c r="F197" s="87">
        <v>120</v>
      </c>
      <c r="G197" s="101" t="s">
        <v>1971</v>
      </c>
      <c r="H197" s="101" t="s">
        <v>553</v>
      </c>
      <c r="I197" s="101">
        <v>990010</v>
      </c>
      <c r="J197" s="87">
        <v>16</v>
      </c>
      <c r="K197" s="101">
        <v>7.5</v>
      </c>
      <c r="L197" s="339">
        <v>2018</v>
      </c>
      <c r="M197" s="293" t="s">
        <v>1834</v>
      </c>
      <c r="N197" s="293" t="s">
        <v>554</v>
      </c>
    </row>
    <row r="198" spans="1:14" ht="19.5" x14ac:dyDescent="0.25">
      <c r="A198" s="101"/>
      <c r="B198" s="562" t="s">
        <v>555</v>
      </c>
      <c r="C198" s="564"/>
      <c r="D198" s="169"/>
      <c r="E198" s="47"/>
      <c r="F198" s="88">
        <f>SUM(F197)</f>
        <v>120</v>
      </c>
      <c r="G198" s="47"/>
      <c r="H198" s="47"/>
      <c r="I198" s="47"/>
      <c r="J198" s="88">
        <f>SUM(J197)</f>
        <v>16</v>
      </c>
      <c r="K198" s="47"/>
      <c r="L198" s="296"/>
      <c r="M198" s="293"/>
      <c r="N198" s="293"/>
    </row>
    <row r="199" spans="1:14" ht="56.25" customHeight="1" x14ac:dyDescent="0.25">
      <c r="A199" s="101">
        <v>65</v>
      </c>
      <c r="B199" s="108" t="s">
        <v>822</v>
      </c>
      <c r="C199" s="117" t="s">
        <v>823</v>
      </c>
      <c r="D199" s="117" t="s">
        <v>824</v>
      </c>
      <c r="E199" s="101" t="s">
        <v>822</v>
      </c>
      <c r="F199" s="87">
        <v>183.18100000000001</v>
      </c>
      <c r="G199" s="101" t="s">
        <v>1971</v>
      </c>
      <c r="H199" s="101" t="s">
        <v>553</v>
      </c>
      <c r="I199" s="101">
        <v>1105000</v>
      </c>
      <c r="J199" s="87">
        <v>12.829000000000001</v>
      </c>
      <c r="K199" s="101">
        <v>14</v>
      </c>
      <c r="L199" s="339">
        <v>2018</v>
      </c>
      <c r="M199" s="293" t="s">
        <v>1834</v>
      </c>
      <c r="N199" s="293" t="s">
        <v>554</v>
      </c>
    </row>
    <row r="200" spans="1:14" ht="19.5" x14ac:dyDescent="0.25">
      <c r="A200" s="101"/>
      <c r="B200" s="562" t="s">
        <v>555</v>
      </c>
      <c r="C200" s="564"/>
      <c r="D200" s="169"/>
      <c r="E200" s="47"/>
      <c r="F200" s="88">
        <f>SUM(F199)</f>
        <v>183.18100000000001</v>
      </c>
      <c r="G200" s="47"/>
      <c r="H200" s="47"/>
      <c r="I200" s="47"/>
      <c r="J200" s="88">
        <f>SUM(J199)</f>
        <v>12.829000000000001</v>
      </c>
      <c r="K200" s="47"/>
      <c r="L200" s="296"/>
      <c r="M200" s="293"/>
      <c r="N200" s="293"/>
    </row>
    <row r="201" spans="1:14" ht="25.5" customHeight="1" x14ac:dyDescent="0.25">
      <c r="A201" s="101">
        <v>66</v>
      </c>
      <c r="B201" s="108" t="s">
        <v>825</v>
      </c>
      <c r="C201" s="117" t="s">
        <v>826</v>
      </c>
      <c r="D201" s="117" t="s">
        <v>827</v>
      </c>
      <c r="E201" s="101" t="s">
        <v>828</v>
      </c>
      <c r="F201" s="87">
        <v>1.4039999999999999</v>
      </c>
      <c r="G201" s="101" t="s">
        <v>829</v>
      </c>
      <c r="H201" s="101" t="s">
        <v>553</v>
      </c>
      <c r="I201" s="101">
        <v>19050</v>
      </c>
      <c r="J201" s="87">
        <v>0.38100000000000001</v>
      </c>
      <c r="K201" s="101">
        <v>4</v>
      </c>
      <c r="L201" s="339">
        <v>2018</v>
      </c>
      <c r="M201" s="293" t="s">
        <v>1144</v>
      </c>
      <c r="N201" s="293" t="s">
        <v>554</v>
      </c>
    </row>
    <row r="202" spans="1:14" ht="19.5" x14ac:dyDescent="0.25">
      <c r="A202" s="101"/>
      <c r="B202" s="562" t="s">
        <v>555</v>
      </c>
      <c r="C202" s="564"/>
      <c r="D202" s="169"/>
      <c r="E202" s="47"/>
      <c r="F202" s="88">
        <v>1.4039999999999999</v>
      </c>
      <c r="G202" s="47"/>
      <c r="H202" s="47"/>
      <c r="I202" s="47"/>
      <c r="J202" s="88">
        <v>0.38100000000000001</v>
      </c>
      <c r="K202" s="47"/>
      <c r="L202" s="296"/>
      <c r="M202" s="293"/>
      <c r="N202" s="293"/>
    </row>
    <row r="203" spans="1:14" ht="51" customHeight="1" x14ac:dyDescent="0.25">
      <c r="A203" s="101">
        <v>67</v>
      </c>
      <c r="B203" s="108" t="s">
        <v>830</v>
      </c>
      <c r="C203" s="117" t="s">
        <v>831</v>
      </c>
      <c r="D203" s="117" t="s">
        <v>832</v>
      </c>
      <c r="E203" s="101" t="s">
        <v>833</v>
      </c>
      <c r="F203" s="87">
        <v>30.515000000000001</v>
      </c>
      <c r="G203" s="101" t="s">
        <v>834</v>
      </c>
      <c r="H203" s="101" t="s">
        <v>283</v>
      </c>
      <c r="I203" s="101">
        <v>291282</v>
      </c>
      <c r="J203" s="87">
        <v>9.8000000000000007</v>
      </c>
      <c r="K203" s="101">
        <v>3.1</v>
      </c>
      <c r="L203" s="339">
        <v>2018</v>
      </c>
      <c r="M203" s="293" t="s">
        <v>865</v>
      </c>
      <c r="N203" s="293" t="s">
        <v>554</v>
      </c>
    </row>
    <row r="204" spans="1:14" ht="19.5" x14ac:dyDescent="0.25">
      <c r="A204" s="101"/>
      <c r="B204" s="562" t="s">
        <v>555</v>
      </c>
      <c r="C204" s="564"/>
      <c r="D204" s="169"/>
      <c r="E204" s="47"/>
      <c r="F204" s="88">
        <v>30.515000000000001</v>
      </c>
      <c r="G204" s="47"/>
      <c r="H204" s="47"/>
      <c r="I204" s="47"/>
      <c r="J204" s="88">
        <v>9.8000000000000007</v>
      </c>
      <c r="K204" s="47"/>
      <c r="L204" s="296"/>
      <c r="M204" s="293"/>
      <c r="N204" s="293"/>
    </row>
    <row r="205" spans="1:14" ht="18.75" x14ac:dyDescent="0.25">
      <c r="A205" s="449">
        <v>68</v>
      </c>
      <c r="B205" s="452" t="s">
        <v>835</v>
      </c>
      <c r="C205" s="454" t="s">
        <v>836</v>
      </c>
      <c r="D205" s="117" t="s">
        <v>827</v>
      </c>
      <c r="E205" s="449" t="s">
        <v>835</v>
      </c>
      <c r="F205" s="87">
        <v>3.2</v>
      </c>
      <c r="G205" s="449" t="s">
        <v>1971</v>
      </c>
      <c r="H205" s="101" t="s">
        <v>553</v>
      </c>
      <c r="I205" s="101">
        <v>415464.2</v>
      </c>
      <c r="J205" s="87">
        <v>5.37</v>
      </c>
      <c r="K205" s="101">
        <v>0.6</v>
      </c>
      <c r="L205" s="499">
        <v>2018</v>
      </c>
      <c r="M205" s="576" t="s">
        <v>1955</v>
      </c>
      <c r="N205" s="576" t="s">
        <v>554</v>
      </c>
    </row>
    <row r="206" spans="1:14" ht="37.5" x14ac:dyDescent="0.25">
      <c r="A206" s="490"/>
      <c r="B206" s="571"/>
      <c r="C206" s="512"/>
      <c r="D206" s="117" t="s">
        <v>837</v>
      </c>
      <c r="E206" s="490"/>
      <c r="F206" s="87">
        <v>3.48</v>
      </c>
      <c r="G206" s="490"/>
      <c r="H206" s="101" t="s">
        <v>553</v>
      </c>
      <c r="I206" s="101">
        <v>32400</v>
      </c>
      <c r="J206" s="87">
        <v>0.42</v>
      </c>
      <c r="K206" s="101">
        <v>8.3000000000000007</v>
      </c>
      <c r="L206" s="500"/>
      <c r="M206" s="580"/>
      <c r="N206" s="580"/>
    </row>
    <row r="207" spans="1:14" ht="37.5" x14ac:dyDescent="0.25">
      <c r="A207" s="433"/>
      <c r="B207" s="434"/>
      <c r="C207" s="455"/>
      <c r="D207" s="117" t="s">
        <v>838</v>
      </c>
      <c r="E207" s="433"/>
      <c r="F207" s="87">
        <v>7.32</v>
      </c>
      <c r="G207" s="433"/>
      <c r="H207" s="101" t="s">
        <v>553</v>
      </c>
      <c r="I207" s="101">
        <v>75600</v>
      </c>
      <c r="J207" s="87">
        <v>0.97</v>
      </c>
      <c r="K207" s="101">
        <v>7.5</v>
      </c>
      <c r="L207" s="501"/>
      <c r="M207" s="577"/>
      <c r="N207" s="577"/>
    </row>
    <row r="208" spans="1:14" ht="19.5" x14ac:dyDescent="0.25">
      <c r="A208" s="101"/>
      <c r="B208" s="562" t="s">
        <v>555</v>
      </c>
      <c r="C208" s="564"/>
      <c r="D208" s="169"/>
      <c r="E208" s="47"/>
      <c r="F208" s="88">
        <f>SUM(F205:F207)</f>
        <v>14</v>
      </c>
      <c r="G208" s="47"/>
      <c r="H208" s="47"/>
      <c r="I208" s="47"/>
      <c r="J208" s="88">
        <f>SUM(J205:J207)</f>
        <v>6.76</v>
      </c>
      <c r="K208" s="47"/>
      <c r="L208" s="296"/>
      <c r="M208" s="293"/>
      <c r="N208" s="293"/>
    </row>
    <row r="209" spans="1:14" s="10" customFormat="1" ht="17.25" customHeight="1" x14ac:dyDescent="0.25">
      <c r="A209" s="51"/>
      <c r="B209" s="572" t="s">
        <v>839</v>
      </c>
      <c r="C209" s="573"/>
      <c r="D209" s="574"/>
      <c r="E209" s="174"/>
      <c r="F209" s="88">
        <f>F118+F121+F126+F128+F133+F138+F148+F152+F154+F156+F158+F162+F164+F167+F171+F173+F178+F180+F182+F184+F186+F189+F191+F194+F196+F198+F200+F202+F204+F208</f>
        <v>7155.6032999999998</v>
      </c>
      <c r="G209" s="174"/>
      <c r="H209" s="51"/>
      <c r="I209" s="51"/>
      <c r="J209" s="52">
        <f>J118+J121+J126+J128+J133+J138+J148+J152+J154+J156+J158+J162+J164+J167+J171+J173+J178+J180+J182+J184+J186+J189+J191+J194+J196+J198+J200+J202+J204+J208</f>
        <v>2569.3701199999991</v>
      </c>
      <c r="K209" s="51"/>
      <c r="L209" s="299"/>
      <c r="M209" s="295"/>
      <c r="N209" s="295"/>
    </row>
    <row r="210" spans="1:14" ht="54" customHeight="1" x14ac:dyDescent="0.25">
      <c r="A210" s="101">
        <v>69</v>
      </c>
      <c r="B210" s="290" t="s">
        <v>840</v>
      </c>
      <c r="C210" s="166" t="s">
        <v>841</v>
      </c>
      <c r="D210" s="117" t="s">
        <v>842</v>
      </c>
      <c r="E210" s="116" t="s">
        <v>621</v>
      </c>
      <c r="F210" s="87">
        <v>1567.1740090000001</v>
      </c>
      <c r="G210" s="116" t="s">
        <v>843</v>
      </c>
      <c r="H210" s="101" t="s">
        <v>553</v>
      </c>
      <c r="I210" s="90">
        <v>915975</v>
      </c>
      <c r="J210" s="87">
        <v>16.45091</v>
      </c>
      <c r="K210" s="367">
        <v>5</v>
      </c>
      <c r="L210" s="338">
        <v>2019</v>
      </c>
      <c r="M210" s="293" t="s">
        <v>1106</v>
      </c>
      <c r="N210" s="293" t="s">
        <v>554</v>
      </c>
    </row>
    <row r="211" spans="1:14" ht="19.5" x14ac:dyDescent="0.25">
      <c r="A211" s="101"/>
      <c r="B211" s="562" t="s">
        <v>555</v>
      </c>
      <c r="C211" s="564"/>
      <c r="D211" s="169"/>
      <c r="E211" s="175"/>
      <c r="F211" s="88">
        <f>F210</f>
        <v>1567.1740090000001</v>
      </c>
      <c r="G211" s="175"/>
      <c r="H211" s="47"/>
      <c r="I211" s="56"/>
      <c r="J211" s="88">
        <v>16.45091</v>
      </c>
      <c r="K211" s="370"/>
      <c r="L211" s="300"/>
      <c r="M211" s="293"/>
      <c r="N211" s="293"/>
    </row>
    <row r="212" spans="1:14" ht="54.75" customHeight="1" x14ac:dyDescent="0.25">
      <c r="A212" s="101">
        <v>70</v>
      </c>
      <c r="B212" s="290" t="s">
        <v>840</v>
      </c>
      <c r="C212" s="166" t="s">
        <v>841</v>
      </c>
      <c r="D212" s="117" t="s">
        <v>844</v>
      </c>
      <c r="E212" s="116" t="s">
        <v>621</v>
      </c>
      <c r="F212" s="87">
        <v>7683.8347530000001</v>
      </c>
      <c r="G212" s="116" t="s">
        <v>843</v>
      </c>
      <c r="H212" s="101" t="s">
        <v>553</v>
      </c>
      <c r="I212" s="90">
        <v>3717000</v>
      </c>
      <c r="J212" s="87">
        <v>66.757320000000007</v>
      </c>
      <c r="K212" s="367">
        <v>5</v>
      </c>
      <c r="L212" s="338">
        <v>2019</v>
      </c>
      <c r="M212" s="293" t="s">
        <v>1106</v>
      </c>
      <c r="N212" s="293" t="s">
        <v>554</v>
      </c>
    </row>
    <row r="213" spans="1:14" ht="19.5" x14ac:dyDescent="0.25">
      <c r="A213" s="101"/>
      <c r="B213" s="562" t="s">
        <v>555</v>
      </c>
      <c r="C213" s="564"/>
      <c r="D213" s="169"/>
      <c r="E213" s="175"/>
      <c r="F213" s="88">
        <f>F212</f>
        <v>7683.8347530000001</v>
      </c>
      <c r="G213" s="175"/>
      <c r="H213" s="47"/>
      <c r="I213" s="56"/>
      <c r="J213" s="88">
        <v>66.757320000000007</v>
      </c>
      <c r="K213" s="370"/>
      <c r="L213" s="300"/>
      <c r="M213" s="293"/>
      <c r="N213" s="293"/>
    </row>
    <row r="214" spans="1:14" ht="38.25" customHeight="1" x14ac:dyDescent="0.25">
      <c r="A214" s="101">
        <v>71</v>
      </c>
      <c r="B214" s="108" t="s">
        <v>845</v>
      </c>
      <c r="C214" s="117" t="s">
        <v>846</v>
      </c>
      <c r="D214" s="176" t="s">
        <v>847</v>
      </c>
      <c r="E214" s="116" t="s">
        <v>848</v>
      </c>
      <c r="F214" s="87">
        <v>102.102</v>
      </c>
      <c r="G214" s="116" t="s">
        <v>834</v>
      </c>
      <c r="H214" s="101" t="s">
        <v>283</v>
      </c>
      <c r="I214" s="101" t="s">
        <v>316</v>
      </c>
      <c r="J214" s="87">
        <v>25</v>
      </c>
      <c r="K214" s="367">
        <v>3</v>
      </c>
      <c r="L214" s="338">
        <v>2019</v>
      </c>
      <c r="M214" s="293" t="s">
        <v>865</v>
      </c>
      <c r="N214" s="293" t="s">
        <v>554</v>
      </c>
    </row>
    <row r="215" spans="1:14" ht="19.5" x14ac:dyDescent="0.25">
      <c r="A215" s="101"/>
      <c r="B215" s="562" t="s">
        <v>555</v>
      </c>
      <c r="C215" s="564"/>
      <c r="D215" s="177"/>
      <c r="E215" s="175"/>
      <c r="F215" s="88">
        <v>102.102</v>
      </c>
      <c r="G215" s="175"/>
      <c r="H215" s="47"/>
      <c r="I215" s="47"/>
      <c r="J215" s="88">
        <v>25</v>
      </c>
      <c r="K215" s="370">
        <v>3</v>
      </c>
      <c r="L215" s="300"/>
      <c r="M215" s="293"/>
      <c r="N215" s="293"/>
    </row>
    <row r="216" spans="1:14" ht="56.25" x14ac:dyDescent="0.25">
      <c r="A216" s="101">
        <v>72</v>
      </c>
      <c r="B216" s="108" t="s">
        <v>845</v>
      </c>
      <c r="C216" s="117" t="s">
        <v>846</v>
      </c>
      <c r="D216" s="117" t="s">
        <v>849</v>
      </c>
      <c r="E216" s="116" t="s">
        <v>848</v>
      </c>
      <c r="F216" s="87">
        <v>86.036000000000001</v>
      </c>
      <c r="G216" s="116" t="s">
        <v>834</v>
      </c>
      <c r="H216" s="101" t="s">
        <v>283</v>
      </c>
      <c r="I216" s="101" t="s">
        <v>321</v>
      </c>
      <c r="J216" s="87">
        <v>45</v>
      </c>
      <c r="K216" s="367">
        <v>3</v>
      </c>
      <c r="L216" s="338">
        <v>2019</v>
      </c>
      <c r="M216" s="293" t="s">
        <v>865</v>
      </c>
      <c r="N216" s="293" t="s">
        <v>554</v>
      </c>
    </row>
    <row r="217" spans="1:14" ht="19.5" x14ac:dyDescent="0.25">
      <c r="A217" s="101"/>
      <c r="B217" s="562" t="s">
        <v>555</v>
      </c>
      <c r="C217" s="564"/>
      <c r="D217" s="178"/>
      <c r="E217" s="47"/>
      <c r="F217" s="88">
        <v>86.036000000000001</v>
      </c>
      <c r="G217" s="47"/>
      <c r="H217" s="47"/>
      <c r="I217" s="47"/>
      <c r="J217" s="88">
        <v>45</v>
      </c>
      <c r="K217" s="47"/>
      <c r="L217" s="296"/>
      <c r="M217" s="293"/>
      <c r="N217" s="293"/>
    </row>
    <row r="218" spans="1:14" ht="37.5" x14ac:dyDescent="0.25">
      <c r="A218" s="101">
        <v>73</v>
      </c>
      <c r="B218" s="108" t="s">
        <v>850</v>
      </c>
      <c r="C218" s="117" t="s">
        <v>851</v>
      </c>
      <c r="D218" s="117" t="s">
        <v>626</v>
      </c>
      <c r="E218" s="101" t="s">
        <v>850</v>
      </c>
      <c r="F218" s="87">
        <v>207.80699999999999</v>
      </c>
      <c r="G218" s="101" t="s">
        <v>628</v>
      </c>
      <c r="H218" s="101" t="s">
        <v>553</v>
      </c>
      <c r="I218" s="90">
        <v>7700000</v>
      </c>
      <c r="J218" s="87">
        <v>107</v>
      </c>
      <c r="K218" s="367">
        <v>2</v>
      </c>
      <c r="L218" s="339">
        <v>2019</v>
      </c>
      <c r="M218" s="293" t="s">
        <v>864</v>
      </c>
      <c r="N218" s="293" t="s">
        <v>554</v>
      </c>
    </row>
    <row r="219" spans="1:14" ht="19.5" x14ac:dyDescent="0.25">
      <c r="A219" s="101"/>
      <c r="B219" s="562" t="s">
        <v>555</v>
      </c>
      <c r="C219" s="564"/>
      <c r="D219" s="179"/>
      <c r="E219" s="47"/>
      <c r="F219" s="88">
        <v>207.80699999999999</v>
      </c>
      <c r="G219" s="47"/>
      <c r="H219" s="47"/>
      <c r="I219" s="47"/>
      <c r="J219" s="88">
        <v>107</v>
      </c>
      <c r="K219" s="47"/>
      <c r="L219" s="296"/>
      <c r="M219" s="293"/>
      <c r="N219" s="293"/>
    </row>
    <row r="220" spans="1:14" ht="37.5" x14ac:dyDescent="0.25">
      <c r="A220" s="60">
        <v>74</v>
      </c>
      <c r="B220" s="59" t="s">
        <v>850</v>
      </c>
      <c r="C220" s="180" t="s">
        <v>852</v>
      </c>
      <c r="D220" s="180" t="s">
        <v>853</v>
      </c>
      <c r="E220" s="60" t="s">
        <v>850</v>
      </c>
      <c r="F220" s="61">
        <v>900.10935199999994</v>
      </c>
      <c r="G220" s="60" t="s">
        <v>628</v>
      </c>
      <c r="H220" s="60" t="s">
        <v>553</v>
      </c>
      <c r="I220" s="62">
        <v>30938012</v>
      </c>
      <c r="J220" s="61">
        <v>275.34830399999998</v>
      </c>
      <c r="K220" s="372">
        <v>3.3</v>
      </c>
      <c r="L220" s="301">
        <v>2019</v>
      </c>
      <c r="M220" s="293" t="s">
        <v>864</v>
      </c>
      <c r="N220" s="293" t="s">
        <v>554</v>
      </c>
    </row>
    <row r="221" spans="1:14" ht="19.5" x14ac:dyDescent="0.25">
      <c r="A221" s="60"/>
      <c r="B221" s="562" t="s">
        <v>555</v>
      </c>
      <c r="C221" s="564"/>
      <c r="D221" s="181"/>
      <c r="E221" s="65"/>
      <c r="F221" s="97">
        <v>900.10935199999994</v>
      </c>
      <c r="G221" s="65"/>
      <c r="H221" s="65"/>
      <c r="I221" s="65"/>
      <c r="J221" s="97">
        <v>275.34830399999998</v>
      </c>
      <c r="K221" s="65"/>
      <c r="L221" s="302"/>
      <c r="M221" s="293"/>
      <c r="N221" s="293"/>
    </row>
    <row r="222" spans="1:14" ht="93.75" x14ac:dyDescent="0.25">
      <c r="A222" s="101">
        <v>75</v>
      </c>
      <c r="B222" s="108" t="s">
        <v>869</v>
      </c>
      <c r="C222" s="182" t="s">
        <v>870</v>
      </c>
      <c r="D222" s="182" t="s">
        <v>871</v>
      </c>
      <c r="E222" s="101" t="s">
        <v>869</v>
      </c>
      <c r="F222" s="67">
        <v>2419.6419999999998</v>
      </c>
      <c r="G222" s="101" t="s">
        <v>872</v>
      </c>
      <c r="H222" s="60" t="s">
        <v>553</v>
      </c>
      <c r="I222" s="101">
        <v>20884164</v>
      </c>
      <c r="J222" s="87">
        <v>373.2</v>
      </c>
      <c r="K222" s="101">
        <v>6.5</v>
      </c>
      <c r="L222" s="339">
        <v>2019</v>
      </c>
      <c r="M222" s="293" t="s">
        <v>865</v>
      </c>
      <c r="N222" s="293" t="s">
        <v>554</v>
      </c>
    </row>
    <row r="223" spans="1:14" ht="19.5" x14ac:dyDescent="0.25">
      <c r="A223" s="101"/>
      <c r="B223" s="562" t="s">
        <v>555</v>
      </c>
      <c r="C223" s="564"/>
      <c r="D223" s="179"/>
      <c r="E223" s="47"/>
      <c r="F223" s="88">
        <v>2419.6419999999998</v>
      </c>
      <c r="G223" s="47"/>
      <c r="H223" s="47"/>
      <c r="I223" s="47"/>
      <c r="J223" s="88">
        <v>373.2</v>
      </c>
      <c r="K223" s="47"/>
      <c r="L223" s="296"/>
      <c r="M223" s="293"/>
      <c r="N223" s="293"/>
    </row>
    <row r="224" spans="1:14" ht="38.25" customHeight="1" x14ac:dyDescent="0.25">
      <c r="A224" s="101">
        <v>76</v>
      </c>
      <c r="B224" s="108" t="s">
        <v>873</v>
      </c>
      <c r="C224" s="183" t="s">
        <v>874</v>
      </c>
      <c r="D224" s="184" t="s">
        <v>856</v>
      </c>
      <c r="E224" s="101" t="s">
        <v>857</v>
      </c>
      <c r="F224" s="67">
        <v>1162.3409999999999</v>
      </c>
      <c r="G224" s="101" t="s">
        <v>875</v>
      </c>
      <c r="H224" s="101" t="s">
        <v>553</v>
      </c>
      <c r="I224" s="337" t="s">
        <v>879</v>
      </c>
      <c r="J224" s="67">
        <v>20.024505000000001</v>
      </c>
      <c r="K224" s="406">
        <v>11</v>
      </c>
      <c r="L224" s="339">
        <v>2019</v>
      </c>
      <c r="M224" s="293" t="s">
        <v>1952</v>
      </c>
      <c r="N224" s="293" t="s">
        <v>554</v>
      </c>
    </row>
    <row r="225" spans="1:14" ht="19.5" x14ac:dyDescent="0.25">
      <c r="A225" s="101"/>
      <c r="B225" s="562" t="s">
        <v>555</v>
      </c>
      <c r="C225" s="564"/>
      <c r="D225" s="179"/>
      <c r="E225" s="47"/>
      <c r="F225" s="88">
        <v>1162.3409999999999</v>
      </c>
      <c r="G225" s="47"/>
      <c r="H225" s="47"/>
      <c r="I225" s="47"/>
      <c r="J225" s="88">
        <v>20.024999999999999</v>
      </c>
      <c r="K225" s="47"/>
      <c r="L225" s="296"/>
      <c r="M225" s="293"/>
      <c r="N225" s="293"/>
    </row>
    <row r="226" spans="1:14" ht="120.75" customHeight="1" x14ac:dyDescent="0.25">
      <c r="A226" s="101">
        <v>77</v>
      </c>
      <c r="B226" s="108" t="s">
        <v>873</v>
      </c>
      <c r="C226" s="185" t="s">
        <v>876</v>
      </c>
      <c r="D226" s="182" t="s">
        <v>856</v>
      </c>
      <c r="E226" s="101" t="s">
        <v>858</v>
      </c>
      <c r="F226" s="67">
        <v>522.62800000000004</v>
      </c>
      <c r="G226" s="101" t="s">
        <v>875</v>
      </c>
      <c r="H226" s="101" t="s">
        <v>553</v>
      </c>
      <c r="I226" s="107" t="s">
        <v>880</v>
      </c>
      <c r="J226" s="67">
        <v>31.058350000000001</v>
      </c>
      <c r="K226" s="73">
        <v>10</v>
      </c>
      <c r="L226" s="339">
        <v>2019</v>
      </c>
      <c r="M226" s="293" t="s">
        <v>1952</v>
      </c>
      <c r="N226" s="293" t="s">
        <v>859</v>
      </c>
    </row>
    <row r="227" spans="1:14" ht="19.5" x14ac:dyDescent="0.25">
      <c r="A227" s="101"/>
      <c r="B227" s="562" t="s">
        <v>555</v>
      </c>
      <c r="C227" s="564"/>
      <c r="D227" s="179"/>
      <c r="E227" s="47"/>
      <c r="F227" s="88">
        <v>522.62800000000004</v>
      </c>
      <c r="G227" s="47"/>
      <c r="H227" s="47"/>
      <c r="I227" s="47"/>
      <c r="J227" s="88">
        <v>31.058</v>
      </c>
      <c r="K227" s="47"/>
      <c r="L227" s="296"/>
      <c r="M227" s="293"/>
      <c r="N227" s="293"/>
    </row>
    <row r="228" spans="1:14" ht="38.25" customHeight="1" x14ac:dyDescent="0.25">
      <c r="A228" s="101">
        <v>78</v>
      </c>
      <c r="B228" s="108" t="s">
        <v>854</v>
      </c>
      <c r="C228" s="185" t="s">
        <v>877</v>
      </c>
      <c r="D228" s="182" t="s">
        <v>878</v>
      </c>
      <c r="E228" s="101" t="s">
        <v>858</v>
      </c>
      <c r="F228" s="67">
        <v>795.95</v>
      </c>
      <c r="G228" s="101" t="s">
        <v>875</v>
      </c>
      <c r="H228" s="101" t="s">
        <v>553</v>
      </c>
      <c r="I228" s="107" t="s">
        <v>881</v>
      </c>
      <c r="J228" s="67">
        <v>76.114170999999999</v>
      </c>
      <c r="K228" s="73">
        <v>10</v>
      </c>
      <c r="L228" s="339">
        <v>2019</v>
      </c>
      <c r="M228" s="293" t="s">
        <v>1952</v>
      </c>
      <c r="N228" s="293" t="s">
        <v>554</v>
      </c>
    </row>
    <row r="229" spans="1:14" ht="19.5" x14ac:dyDescent="0.25">
      <c r="A229" s="101"/>
      <c r="B229" s="562" t="s">
        <v>555</v>
      </c>
      <c r="C229" s="564"/>
      <c r="D229" s="179"/>
      <c r="E229" s="47"/>
      <c r="F229" s="88">
        <v>795.95</v>
      </c>
      <c r="G229" s="47"/>
      <c r="H229" s="47"/>
      <c r="I229" s="47"/>
      <c r="J229" s="88">
        <v>76.114000000000004</v>
      </c>
      <c r="K229" s="47"/>
      <c r="L229" s="296"/>
      <c r="M229" s="293"/>
      <c r="N229" s="293"/>
    </row>
    <row r="230" spans="1:14" ht="38.25" customHeight="1" x14ac:dyDescent="0.25">
      <c r="A230" s="101">
        <v>79</v>
      </c>
      <c r="B230" s="108" t="s">
        <v>854</v>
      </c>
      <c r="C230" s="185" t="s">
        <v>855</v>
      </c>
      <c r="D230" s="182" t="s">
        <v>883</v>
      </c>
      <c r="E230" s="101" t="s">
        <v>858</v>
      </c>
      <c r="F230" s="67">
        <v>600.70000000000005</v>
      </c>
      <c r="G230" s="101" t="s">
        <v>875</v>
      </c>
      <c r="H230" s="101" t="s">
        <v>553</v>
      </c>
      <c r="I230" s="107" t="s">
        <v>882</v>
      </c>
      <c r="J230" s="67">
        <v>38.910733999999998</v>
      </c>
      <c r="K230" s="73">
        <v>10</v>
      </c>
      <c r="L230" s="339">
        <v>2019</v>
      </c>
      <c r="M230" s="293" t="s">
        <v>1952</v>
      </c>
      <c r="N230" s="293" t="s">
        <v>554</v>
      </c>
    </row>
    <row r="231" spans="1:14" ht="19.5" x14ac:dyDescent="0.25">
      <c r="A231" s="101"/>
      <c r="B231" s="562" t="s">
        <v>555</v>
      </c>
      <c r="C231" s="564"/>
      <c r="D231" s="179"/>
      <c r="E231" s="47"/>
      <c r="F231" s="88">
        <v>600.70000000000005</v>
      </c>
      <c r="G231" s="47"/>
      <c r="H231" s="47"/>
      <c r="I231" s="47"/>
      <c r="J231" s="88">
        <v>38.911000000000001</v>
      </c>
      <c r="K231" s="47"/>
      <c r="L231" s="296"/>
      <c r="M231" s="293"/>
      <c r="N231" s="293"/>
    </row>
    <row r="232" spans="1:14" ht="38.25" customHeight="1" x14ac:dyDescent="0.25">
      <c r="A232" s="101">
        <v>80</v>
      </c>
      <c r="B232" s="108" t="s">
        <v>854</v>
      </c>
      <c r="C232" s="185" t="s">
        <v>877</v>
      </c>
      <c r="D232" s="182" t="s">
        <v>884</v>
      </c>
      <c r="E232" s="101" t="s">
        <v>858</v>
      </c>
      <c r="F232" s="67">
        <v>5426.3</v>
      </c>
      <c r="G232" s="101" t="s">
        <v>875</v>
      </c>
      <c r="H232" s="101" t="s">
        <v>553</v>
      </c>
      <c r="I232" s="107" t="s">
        <v>879</v>
      </c>
      <c r="J232" s="67">
        <v>26.863264999999998</v>
      </c>
      <c r="K232" s="73">
        <v>11</v>
      </c>
      <c r="L232" s="339">
        <v>2019</v>
      </c>
      <c r="M232" s="293" t="s">
        <v>1952</v>
      </c>
      <c r="N232" s="293" t="s">
        <v>554</v>
      </c>
    </row>
    <row r="233" spans="1:14" ht="19.5" x14ac:dyDescent="0.25">
      <c r="A233" s="101"/>
      <c r="B233" s="562" t="s">
        <v>555</v>
      </c>
      <c r="C233" s="564"/>
      <c r="D233" s="179"/>
      <c r="E233" s="47"/>
      <c r="F233" s="88">
        <v>5426.3</v>
      </c>
      <c r="G233" s="47"/>
      <c r="H233" s="47"/>
      <c r="I233" s="47"/>
      <c r="J233" s="88">
        <v>26.863</v>
      </c>
      <c r="K233" s="47"/>
      <c r="L233" s="296"/>
      <c r="M233" s="293"/>
      <c r="N233" s="293"/>
    </row>
    <row r="234" spans="1:14" ht="25.5" customHeight="1" x14ac:dyDescent="0.25">
      <c r="A234" s="101">
        <v>81</v>
      </c>
      <c r="B234" s="108" t="s">
        <v>885</v>
      </c>
      <c r="C234" s="185" t="s">
        <v>886</v>
      </c>
      <c r="D234" s="182" t="s">
        <v>887</v>
      </c>
      <c r="E234" s="101" t="s">
        <v>888</v>
      </c>
      <c r="F234" s="67">
        <v>70</v>
      </c>
      <c r="G234" s="101" t="s">
        <v>889</v>
      </c>
      <c r="H234" s="101" t="s">
        <v>553</v>
      </c>
      <c r="I234" s="69">
        <v>383250</v>
      </c>
      <c r="J234" s="67">
        <v>9.2593200000000007</v>
      </c>
      <c r="K234" s="367">
        <v>8</v>
      </c>
      <c r="L234" s="339">
        <v>2019</v>
      </c>
      <c r="M234" s="293" t="s">
        <v>864</v>
      </c>
      <c r="N234" s="293" t="s">
        <v>554</v>
      </c>
    </row>
    <row r="235" spans="1:14" ht="19.5" x14ac:dyDescent="0.25">
      <c r="A235" s="101"/>
      <c r="B235" s="562" t="s">
        <v>555</v>
      </c>
      <c r="C235" s="564"/>
      <c r="D235" s="169"/>
      <c r="E235" s="47"/>
      <c r="F235" s="88">
        <f>F234</f>
        <v>70</v>
      </c>
      <c r="G235" s="47"/>
      <c r="H235" s="47"/>
      <c r="I235" s="47"/>
      <c r="J235" s="88">
        <v>9.2590000000000003</v>
      </c>
      <c r="K235" s="47"/>
      <c r="L235" s="296"/>
      <c r="M235" s="293"/>
      <c r="N235" s="293"/>
    </row>
    <row r="236" spans="1:14" ht="146.25" customHeight="1" x14ac:dyDescent="0.25">
      <c r="A236" s="101">
        <v>82</v>
      </c>
      <c r="B236" s="290" t="s">
        <v>845</v>
      </c>
      <c r="C236" s="182" t="s">
        <v>890</v>
      </c>
      <c r="D236" s="182" t="s">
        <v>891</v>
      </c>
      <c r="E236" s="116" t="s">
        <v>848</v>
      </c>
      <c r="F236" s="67">
        <v>37.148000000000003</v>
      </c>
      <c r="G236" s="116" t="s">
        <v>834</v>
      </c>
      <c r="H236" s="107" t="s">
        <v>892</v>
      </c>
      <c r="I236" s="69">
        <v>236072</v>
      </c>
      <c r="J236" s="67">
        <v>5</v>
      </c>
      <c r="K236" s="73">
        <v>3</v>
      </c>
      <c r="L236" s="338">
        <v>2019</v>
      </c>
      <c r="M236" s="293" t="s">
        <v>865</v>
      </c>
      <c r="N236" s="293" t="s">
        <v>554</v>
      </c>
    </row>
    <row r="237" spans="1:14" ht="19.5" x14ac:dyDescent="0.25">
      <c r="A237" s="101"/>
      <c r="B237" s="562" t="s">
        <v>555</v>
      </c>
      <c r="C237" s="564"/>
      <c r="D237" s="169"/>
      <c r="E237" s="47"/>
      <c r="F237" s="88">
        <v>37.148000000000003</v>
      </c>
      <c r="G237" s="47"/>
      <c r="H237" s="47"/>
      <c r="I237" s="47"/>
      <c r="J237" s="88">
        <v>5</v>
      </c>
      <c r="K237" s="47"/>
      <c r="L237" s="296"/>
      <c r="M237" s="293"/>
      <c r="N237" s="293"/>
    </row>
    <row r="238" spans="1:14" ht="100.5" customHeight="1" x14ac:dyDescent="0.25">
      <c r="A238" s="101">
        <v>83</v>
      </c>
      <c r="B238" s="290" t="s">
        <v>845</v>
      </c>
      <c r="C238" s="182" t="s">
        <v>893</v>
      </c>
      <c r="D238" s="182" t="s">
        <v>891</v>
      </c>
      <c r="E238" s="116" t="s">
        <v>848</v>
      </c>
      <c r="F238" s="67">
        <v>30.414000000000001</v>
      </c>
      <c r="G238" s="116" t="s">
        <v>834</v>
      </c>
      <c r="H238" s="107" t="s">
        <v>892</v>
      </c>
      <c r="I238" s="107">
        <v>1085930</v>
      </c>
      <c r="J238" s="67">
        <v>23</v>
      </c>
      <c r="K238" s="73">
        <v>3</v>
      </c>
      <c r="L238" s="338">
        <v>2019</v>
      </c>
      <c r="M238" s="293" t="s">
        <v>865</v>
      </c>
      <c r="N238" s="293" t="s">
        <v>554</v>
      </c>
    </row>
    <row r="239" spans="1:14" ht="19.5" x14ac:dyDescent="0.25">
      <c r="A239" s="101"/>
      <c r="B239" s="562" t="s">
        <v>555</v>
      </c>
      <c r="C239" s="564"/>
      <c r="D239" s="169"/>
      <c r="E239" s="47"/>
      <c r="F239" s="88">
        <v>30.414000000000001</v>
      </c>
      <c r="G239" s="47"/>
      <c r="H239" s="47"/>
      <c r="I239" s="47"/>
      <c r="J239" s="88">
        <v>23</v>
      </c>
      <c r="K239" s="47"/>
      <c r="L239" s="296"/>
      <c r="M239" s="293"/>
      <c r="N239" s="293"/>
    </row>
    <row r="240" spans="1:14" ht="37.5" x14ac:dyDescent="0.25">
      <c r="A240" s="101">
        <v>84</v>
      </c>
      <c r="B240" s="290" t="s">
        <v>894</v>
      </c>
      <c r="C240" s="182" t="s">
        <v>895</v>
      </c>
      <c r="D240" s="182" t="s">
        <v>626</v>
      </c>
      <c r="E240" s="116" t="s">
        <v>894</v>
      </c>
      <c r="F240" s="67">
        <v>15.285</v>
      </c>
      <c r="G240" s="116" t="s">
        <v>896</v>
      </c>
      <c r="H240" s="107" t="s">
        <v>553</v>
      </c>
      <c r="I240" s="107">
        <v>125300</v>
      </c>
      <c r="J240" s="67">
        <v>2.2010000000000001</v>
      </c>
      <c r="K240" s="73">
        <v>6.9</v>
      </c>
      <c r="L240" s="338">
        <v>2019</v>
      </c>
      <c r="M240" s="293" t="s">
        <v>1951</v>
      </c>
      <c r="N240" s="293" t="s">
        <v>554</v>
      </c>
    </row>
    <row r="241" spans="1:14" ht="19.5" x14ac:dyDescent="0.25">
      <c r="A241" s="101"/>
      <c r="B241" s="562" t="s">
        <v>555</v>
      </c>
      <c r="C241" s="564"/>
      <c r="D241" s="169"/>
      <c r="E241" s="47"/>
      <c r="F241" s="88">
        <v>15.285</v>
      </c>
      <c r="G241" s="47"/>
      <c r="H241" s="47"/>
      <c r="I241" s="47"/>
      <c r="J241" s="88">
        <v>2.2010000000000001</v>
      </c>
      <c r="K241" s="47"/>
      <c r="L241" s="296"/>
      <c r="M241" s="293"/>
      <c r="N241" s="293"/>
    </row>
    <row r="242" spans="1:14" ht="38.25" customHeight="1" x14ac:dyDescent="0.25">
      <c r="A242" s="101">
        <v>85</v>
      </c>
      <c r="B242" s="290" t="s">
        <v>840</v>
      </c>
      <c r="C242" s="182" t="s">
        <v>841</v>
      </c>
      <c r="D242" s="182" t="s">
        <v>897</v>
      </c>
      <c r="E242" s="116" t="s">
        <v>621</v>
      </c>
      <c r="F242" s="67">
        <v>2383.5145600000001</v>
      </c>
      <c r="G242" s="116" t="s">
        <v>843</v>
      </c>
      <c r="H242" s="107" t="s">
        <v>553</v>
      </c>
      <c r="I242" s="107">
        <v>1850200</v>
      </c>
      <c r="J242" s="67">
        <v>33.229591999999997</v>
      </c>
      <c r="K242" s="73">
        <v>6.9</v>
      </c>
      <c r="L242" s="338">
        <v>2019</v>
      </c>
      <c r="M242" s="293" t="s">
        <v>1106</v>
      </c>
      <c r="N242" s="293" t="s">
        <v>554</v>
      </c>
    </row>
    <row r="243" spans="1:14" ht="19.5" x14ac:dyDescent="0.25">
      <c r="A243" s="101"/>
      <c r="B243" s="562" t="s">
        <v>555</v>
      </c>
      <c r="C243" s="564"/>
      <c r="D243" s="169"/>
      <c r="E243" s="47"/>
      <c r="F243" s="88">
        <v>2383.5145600000001</v>
      </c>
      <c r="G243" s="47"/>
      <c r="H243" s="47"/>
      <c r="I243" s="47"/>
      <c r="J243" s="88">
        <v>33.229591999999997</v>
      </c>
      <c r="K243" s="47"/>
      <c r="L243" s="296"/>
      <c r="M243" s="293"/>
      <c r="N243" s="293"/>
    </row>
    <row r="244" spans="1:14" ht="38.25" customHeight="1" x14ac:dyDescent="0.25">
      <c r="A244" s="101">
        <v>86</v>
      </c>
      <c r="B244" s="290" t="s">
        <v>898</v>
      </c>
      <c r="C244" s="182" t="s">
        <v>899</v>
      </c>
      <c r="D244" s="182" t="s">
        <v>900</v>
      </c>
      <c r="E244" s="116" t="s">
        <v>901</v>
      </c>
      <c r="F244" s="67">
        <v>3.5126919999999999</v>
      </c>
      <c r="G244" s="116" t="s">
        <v>902</v>
      </c>
      <c r="H244" s="107" t="s">
        <v>37</v>
      </c>
      <c r="I244" s="107">
        <v>379.721</v>
      </c>
      <c r="J244" s="67">
        <v>1.5</v>
      </c>
      <c r="K244" s="73">
        <v>1</v>
      </c>
      <c r="L244" s="338">
        <v>2019</v>
      </c>
      <c r="M244" s="293" t="s">
        <v>864</v>
      </c>
      <c r="N244" s="293" t="s">
        <v>554</v>
      </c>
    </row>
    <row r="245" spans="1:14" ht="19.5" x14ac:dyDescent="0.25">
      <c r="A245" s="101"/>
      <c r="B245" s="562" t="s">
        <v>555</v>
      </c>
      <c r="C245" s="564"/>
      <c r="D245" s="169"/>
      <c r="E245" s="47"/>
      <c r="F245" s="88">
        <v>3.5126919999999999</v>
      </c>
      <c r="G245" s="47"/>
      <c r="H245" s="47"/>
      <c r="I245" s="47"/>
      <c r="J245" s="88">
        <v>1.5</v>
      </c>
      <c r="K245" s="47"/>
      <c r="L245" s="296"/>
      <c r="M245" s="293"/>
      <c r="N245" s="293"/>
    </row>
    <row r="246" spans="1:14" ht="38.25" customHeight="1" x14ac:dyDescent="0.25">
      <c r="A246" s="101">
        <v>87</v>
      </c>
      <c r="B246" s="290" t="s">
        <v>903</v>
      </c>
      <c r="C246" s="182" t="s">
        <v>904</v>
      </c>
      <c r="D246" s="182" t="s">
        <v>905</v>
      </c>
      <c r="E246" s="116" t="s">
        <v>906</v>
      </c>
      <c r="F246" s="67">
        <v>12575.986000000001</v>
      </c>
      <c r="G246" s="116" t="s">
        <v>907</v>
      </c>
      <c r="H246" s="107" t="s">
        <v>553</v>
      </c>
      <c r="I246" s="153">
        <v>0.15</v>
      </c>
      <c r="J246" s="67">
        <v>0</v>
      </c>
      <c r="K246" s="73"/>
      <c r="L246" s="338">
        <v>2019</v>
      </c>
      <c r="M246" s="293" t="s">
        <v>1144</v>
      </c>
      <c r="N246" s="293" t="s">
        <v>554</v>
      </c>
    </row>
    <row r="247" spans="1:14" ht="19.5" x14ac:dyDescent="0.25">
      <c r="A247" s="101"/>
      <c r="B247" s="562" t="s">
        <v>555</v>
      </c>
      <c r="C247" s="564"/>
      <c r="D247" s="169"/>
      <c r="E247" s="47"/>
      <c r="F247" s="98">
        <f>F246</f>
        <v>12575.986000000001</v>
      </c>
      <c r="G247" s="47"/>
      <c r="H247" s="47"/>
      <c r="I247" s="47"/>
      <c r="J247" s="88">
        <v>0</v>
      </c>
      <c r="K247" s="47"/>
      <c r="L247" s="296"/>
      <c r="M247" s="293"/>
      <c r="N247" s="293"/>
    </row>
    <row r="248" spans="1:14" ht="51" customHeight="1" x14ac:dyDescent="0.25">
      <c r="A248" s="101">
        <v>88</v>
      </c>
      <c r="B248" s="290" t="s">
        <v>908</v>
      </c>
      <c r="C248" s="182" t="s">
        <v>909</v>
      </c>
      <c r="D248" s="182" t="s">
        <v>910</v>
      </c>
      <c r="E248" s="116" t="s">
        <v>911</v>
      </c>
      <c r="F248" s="67">
        <v>29.438199999999998</v>
      </c>
      <c r="G248" s="337" t="s">
        <v>912</v>
      </c>
      <c r="H248" s="69" t="s">
        <v>868</v>
      </c>
      <c r="I248" s="73">
        <v>473</v>
      </c>
      <c r="J248" s="67">
        <v>4.7300000000000004</v>
      </c>
      <c r="K248" s="73"/>
      <c r="L248" s="303">
        <v>2019</v>
      </c>
      <c r="M248" s="335" t="s">
        <v>1956</v>
      </c>
      <c r="N248" s="293" t="s">
        <v>554</v>
      </c>
    </row>
    <row r="249" spans="1:14" ht="19.5" x14ac:dyDescent="0.25">
      <c r="A249" s="101"/>
      <c r="B249" s="562" t="s">
        <v>555</v>
      </c>
      <c r="C249" s="564"/>
      <c r="D249" s="169"/>
      <c r="E249" s="47"/>
      <c r="F249" s="88">
        <v>29.438199999999998</v>
      </c>
      <c r="G249" s="47"/>
      <c r="H249" s="47"/>
      <c r="I249" s="47"/>
      <c r="J249" s="98">
        <v>4.7300000000000004</v>
      </c>
      <c r="K249" s="47"/>
      <c r="L249" s="296"/>
      <c r="M249" s="293"/>
      <c r="N249" s="293"/>
    </row>
    <row r="250" spans="1:14" ht="92.25" customHeight="1" x14ac:dyDescent="0.25">
      <c r="A250" s="101">
        <v>89</v>
      </c>
      <c r="B250" s="291" t="s">
        <v>913</v>
      </c>
      <c r="C250" s="182" t="s">
        <v>914</v>
      </c>
      <c r="D250" s="182" t="s">
        <v>891</v>
      </c>
      <c r="E250" s="337" t="s">
        <v>915</v>
      </c>
      <c r="F250" s="67">
        <v>320</v>
      </c>
      <c r="G250" s="337" t="s">
        <v>916</v>
      </c>
      <c r="H250" s="69" t="s">
        <v>868</v>
      </c>
      <c r="I250" s="73">
        <v>800</v>
      </c>
      <c r="J250" s="67">
        <v>10.4</v>
      </c>
      <c r="K250" s="73">
        <v>3</v>
      </c>
      <c r="L250" s="303">
        <v>2019</v>
      </c>
      <c r="M250" s="293" t="s">
        <v>864</v>
      </c>
      <c r="N250" s="293" t="s">
        <v>554</v>
      </c>
    </row>
    <row r="251" spans="1:14" ht="19.5" x14ac:dyDescent="0.25">
      <c r="A251" s="101"/>
      <c r="B251" s="562" t="s">
        <v>555</v>
      </c>
      <c r="C251" s="564"/>
      <c r="D251" s="169"/>
      <c r="E251" s="47"/>
      <c r="F251" s="88">
        <v>320</v>
      </c>
      <c r="G251" s="47"/>
      <c r="H251" s="47"/>
      <c r="I251" s="47"/>
      <c r="J251" s="98">
        <v>10.4</v>
      </c>
      <c r="K251" s="47"/>
      <c r="L251" s="296"/>
      <c r="M251" s="293"/>
      <c r="N251" s="293"/>
    </row>
    <row r="252" spans="1:14" ht="59.25" customHeight="1" x14ac:dyDescent="0.25">
      <c r="A252" s="101">
        <v>90</v>
      </c>
      <c r="B252" s="291" t="s">
        <v>913</v>
      </c>
      <c r="C252" s="182" t="s">
        <v>917</v>
      </c>
      <c r="D252" s="182" t="s">
        <v>918</v>
      </c>
      <c r="E252" s="337" t="s">
        <v>919</v>
      </c>
      <c r="F252" s="67">
        <v>35</v>
      </c>
      <c r="G252" s="337" t="s">
        <v>920</v>
      </c>
      <c r="H252" s="69" t="s">
        <v>868</v>
      </c>
      <c r="I252" s="73">
        <v>565</v>
      </c>
      <c r="J252" s="67">
        <v>11.7</v>
      </c>
      <c r="K252" s="73">
        <v>3</v>
      </c>
      <c r="L252" s="303">
        <v>2019</v>
      </c>
      <c r="M252" s="293" t="s">
        <v>864</v>
      </c>
      <c r="N252" s="293" t="s">
        <v>554</v>
      </c>
    </row>
    <row r="253" spans="1:14" ht="19.5" x14ac:dyDescent="0.25">
      <c r="A253" s="101"/>
      <c r="B253" s="562" t="s">
        <v>555</v>
      </c>
      <c r="C253" s="564"/>
      <c r="D253" s="169"/>
      <c r="E253" s="47"/>
      <c r="F253" s="88">
        <v>35</v>
      </c>
      <c r="G253" s="47"/>
      <c r="H253" s="47"/>
      <c r="I253" s="47"/>
      <c r="J253" s="98">
        <v>11.7</v>
      </c>
      <c r="K253" s="47"/>
      <c r="L253" s="296"/>
      <c r="M253" s="293"/>
      <c r="N253" s="293"/>
    </row>
    <row r="254" spans="1:14" ht="51" customHeight="1" x14ac:dyDescent="0.25">
      <c r="A254" s="101">
        <v>91</v>
      </c>
      <c r="B254" s="291" t="s">
        <v>921</v>
      </c>
      <c r="C254" s="182" t="s">
        <v>922</v>
      </c>
      <c r="D254" s="182" t="s">
        <v>891</v>
      </c>
      <c r="E254" s="337" t="s">
        <v>923</v>
      </c>
      <c r="F254" s="67">
        <v>5.1870000000000003</v>
      </c>
      <c r="G254" s="337" t="s">
        <v>1049</v>
      </c>
      <c r="H254" s="69" t="s">
        <v>1959</v>
      </c>
      <c r="I254" s="73">
        <v>39.9</v>
      </c>
      <c r="J254" s="67">
        <v>0.86099999999999999</v>
      </c>
      <c r="K254" s="73">
        <v>15</v>
      </c>
      <c r="L254" s="303">
        <v>2019</v>
      </c>
      <c r="M254" s="293" t="s">
        <v>1208</v>
      </c>
      <c r="N254" s="293" t="s">
        <v>859</v>
      </c>
    </row>
    <row r="255" spans="1:14" ht="19.5" x14ac:dyDescent="0.25">
      <c r="A255" s="101"/>
      <c r="B255" s="562" t="s">
        <v>555</v>
      </c>
      <c r="C255" s="564"/>
      <c r="D255" s="169"/>
      <c r="E255" s="47"/>
      <c r="F255" s="88">
        <v>5.1870000000000003</v>
      </c>
      <c r="G255" s="47"/>
      <c r="H255" s="47"/>
      <c r="I255" s="47"/>
      <c r="J255" s="98">
        <v>0.86099999999999999</v>
      </c>
      <c r="K255" s="47"/>
      <c r="L255" s="296"/>
      <c r="M255" s="293"/>
      <c r="N255" s="293"/>
    </row>
    <row r="256" spans="1:14" ht="65.25" customHeight="1" x14ac:dyDescent="0.25">
      <c r="A256" s="101">
        <v>92</v>
      </c>
      <c r="B256" s="291" t="s">
        <v>921</v>
      </c>
      <c r="C256" s="182" t="s">
        <v>924</v>
      </c>
      <c r="D256" s="182" t="s">
        <v>891</v>
      </c>
      <c r="E256" s="337" t="s">
        <v>923</v>
      </c>
      <c r="F256" s="67">
        <v>10.109</v>
      </c>
      <c r="G256" s="337" t="s">
        <v>1049</v>
      </c>
      <c r="H256" s="69" t="s">
        <v>1959</v>
      </c>
      <c r="I256" s="73">
        <v>77.8</v>
      </c>
      <c r="J256" s="67">
        <v>1.6780999999999999</v>
      </c>
      <c r="K256" s="73">
        <v>15</v>
      </c>
      <c r="L256" s="303">
        <v>2019</v>
      </c>
      <c r="M256" s="293" t="s">
        <v>1208</v>
      </c>
      <c r="N256" s="293" t="s">
        <v>859</v>
      </c>
    </row>
    <row r="257" spans="1:14" ht="19.5" x14ac:dyDescent="0.25">
      <c r="A257" s="101"/>
      <c r="B257" s="562" t="s">
        <v>555</v>
      </c>
      <c r="C257" s="564"/>
      <c r="D257" s="169"/>
      <c r="E257" s="47"/>
      <c r="F257" s="88">
        <v>10.109</v>
      </c>
      <c r="G257" s="47"/>
      <c r="H257" s="47"/>
      <c r="I257" s="47"/>
      <c r="J257" s="98">
        <v>1.6780999999999999</v>
      </c>
      <c r="K257" s="47"/>
      <c r="L257" s="296"/>
      <c r="M257" s="293"/>
      <c r="N257" s="293"/>
    </row>
    <row r="258" spans="1:14" ht="51" customHeight="1" x14ac:dyDescent="0.25">
      <c r="A258" s="101">
        <v>93</v>
      </c>
      <c r="B258" s="291" t="s">
        <v>925</v>
      </c>
      <c r="C258" s="182" t="s">
        <v>926</v>
      </c>
      <c r="D258" s="182" t="s">
        <v>891</v>
      </c>
      <c r="E258" s="337" t="s">
        <v>923</v>
      </c>
      <c r="F258" s="67">
        <v>9.44</v>
      </c>
      <c r="G258" s="337" t="s">
        <v>1049</v>
      </c>
      <c r="H258" s="69" t="s">
        <v>1959</v>
      </c>
      <c r="I258" s="73">
        <v>72.7</v>
      </c>
      <c r="J258" s="67">
        <v>1.5669999999999999</v>
      </c>
      <c r="K258" s="73">
        <v>15</v>
      </c>
      <c r="L258" s="303">
        <v>2019</v>
      </c>
      <c r="M258" s="293" t="s">
        <v>1208</v>
      </c>
      <c r="N258" s="293" t="s">
        <v>859</v>
      </c>
    </row>
    <row r="259" spans="1:14" ht="19.5" x14ac:dyDescent="0.25">
      <c r="A259" s="101"/>
      <c r="B259" s="562" t="s">
        <v>555</v>
      </c>
      <c r="C259" s="564"/>
      <c r="D259" s="169"/>
      <c r="E259" s="47"/>
      <c r="F259" s="88">
        <v>9.44</v>
      </c>
      <c r="G259" s="47"/>
      <c r="H259" s="47"/>
      <c r="I259" s="47"/>
      <c r="J259" s="98">
        <v>1.5669999999999999</v>
      </c>
      <c r="K259" s="47"/>
      <c r="L259" s="296"/>
      <c r="M259" s="293"/>
      <c r="N259" s="293"/>
    </row>
    <row r="260" spans="1:14" ht="69" customHeight="1" x14ac:dyDescent="0.25">
      <c r="A260" s="101">
        <v>94</v>
      </c>
      <c r="B260" s="291" t="s">
        <v>925</v>
      </c>
      <c r="C260" s="182" t="s">
        <v>927</v>
      </c>
      <c r="D260" s="182" t="s">
        <v>891</v>
      </c>
      <c r="E260" s="337" t="s">
        <v>923</v>
      </c>
      <c r="F260" s="67">
        <v>9.5519999999999996</v>
      </c>
      <c r="G260" s="337" t="s">
        <v>1049</v>
      </c>
      <c r="H260" s="69" t="s">
        <v>1959</v>
      </c>
      <c r="I260" s="73">
        <v>73.5</v>
      </c>
      <c r="J260" s="67">
        <v>1.5855999999999999</v>
      </c>
      <c r="K260" s="73">
        <v>15</v>
      </c>
      <c r="L260" s="303">
        <v>2019</v>
      </c>
      <c r="M260" s="293" t="s">
        <v>1208</v>
      </c>
      <c r="N260" s="293" t="s">
        <v>859</v>
      </c>
    </row>
    <row r="261" spans="1:14" ht="19.5" x14ac:dyDescent="0.25">
      <c r="A261" s="101"/>
      <c r="B261" s="562" t="s">
        <v>555</v>
      </c>
      <c r="C261" s="564"/>
      <c r="D261" s="169"/>
      <c r="E261" s="47"/>
      <c r="F261" s="88">
        <v>9.5519999999999996</v>
      </c>
      <c r="G261" s="47"/>
      <c r="H261" s="47"/>
      <c r="I261" s="47"/>
      <c r="J261" s="98">
        <v>1.5855999999999999</v>
      </c>
      <c r="K261" s="47"/>
      <c r="L261" s="296"/>
      <c r="M261" s="293"/>
      <c r="N261" s="293"/>
    </row>
    <row r="262" spans="1:14" ht="68.25" customHeight="1" x14ac:dyDescent="0.25">
      <c r="A262" s="101">
        <v>95</v>
      </c>
      <c r="B262" s="291" t="s">
        <v>925</v>
      </c>
      <c r="C262" s="182" t="s">
        <v>929</v>
      </c>
      <c r="D262" s="182" t="s">
        <v>891</v>
      </c>
      <c r="E262" s="337" t="s">
        <v>923</v>
      </c>
      <c r="F262" s="67">
        <f>3365/1000</f>
        <v>3.3650000000000002</v>
      </c>
      <c r="G262" s="337" t="s">
        <v>1049</v>
      </c>
      <c r="H262" s="69" t="s">
        <v>1959</v>
      </c>
      <c r="I262" s="73">
        <v>25.9</v>
      </c>
      <c r="J262" s="67">
        <v>0.55859999999999999</v>
      </c>
      <c r="K262" s="73">
        <v>15</v>
      </c>
      <c r="L262" s="303">
        <v>2019</v>
      </c>
      <c r="M262" s="293" t="s">
        <v>1208</v>
      </c>
      <c r="N262" s="293" t="s">
        <v>859</v>
      </c>
    </row>
    <row r="263" spans="1:14" ht="19.5" x14ac:dyDescent="0.25">
      <c r="A263" s="101"/>
      <c r="B263" s="562" t="s">
        <v>555</v>
      </c>
      <c r="C263" s="564"/>
      <c r="D263" s="169"/>
      <c r="E263" s="47"/>
      <c r="F263" s="88">
        <f>F262</f>
        <v>3.3650000000000002</v>
      </c>
      <c r="G263" s="47"/>
      <c r="H263" s="47"/>
      <c r="I263" s="47"/>
      <c r="J263" s="98">
        <v>0.55859999999999999</v>
      </c>
      <c r="K263" s="47"/>
      <c r="L263" s="296"/>
      <c r="M263" s="293"/>
      <c r="N263" s="293"/>
    </row>
    <row r="264" spans="1:14" ht="51" customHeight="1" x14ac:dyDescent="0.25">
      <c r="A264" s="101">
        <v>96</v>
      </c>
      <c r="B264" s="291" t="s">
        <v>921</v>
      </c>
      <c r="C264" s="182" t="s">
        <v>928</v>
      </c>
      <c r="D264" s="182" t="s">
        <v>891</v>
      </c>
      <c r="E264" s="337" t="s">
        <v>923</v>
      </c>
      <c r="F264" s="67">
        <v>4.8289999999999997</v>
      </c>
      <c r="G264" s="337" t="s">
        <v>1049</v>
      </c>
      <c r="H264" s="69" t="s">
        <v>1959</v>
      </c>
      <c r="I264" s="73">
        <v>37.200000000000003</v>
      </c>
      <c r="J264" s="67">
        <v>0.80159999999999998</v>
      </c>
      <c r="K264" s="73">
        <v>15</v>
      </c>
      <c r="L264" s="303">
        <v>2019</v>
      </c>
      <c r="M264" s="293" t="s">
        <v>1208</v>
      </c>
      <c r="N264" s="293" t="s">
        <v>859</v>
      </c>
    </row>
    <row r="265" spans="1:14" ht="19.5" x14ac:dyDescent="0.25">
      <c r="A265" s="101"/>
      <c r="B265" s="562" t="s">
        <v>555</v>
      </c>
      <c r="C265" s="564"/>
      <c r="D265" s="169"/>
      <c r="E265" s="47"/>
      <c r="F265" s="88">
        <v>4.8289999999999997</v>
      </c>
      <c r="G265" s="47"/>
      <c r="H265" s="47"/>
      <c r="I265" s="47"/>
      <c r="J265" s="98">
        <v>0.80159999999999998</v>
      </c>
      <c r="K265" s="47"/>
      <c r="L265" s="296"/>
      <c r="M265" s="293"/>
      <c r="N265" s="293"/>
    </row>
    <row r="266" spans="1:14" ht="51" customHeight="1" x14ac:dyDescent="0.25">
      <c r="A266" s="101">
        <v>97</v>
      </c>
      <c r="B266" s="291" t="s">
        <v>921</v>
      </c>
      <c r="C266" s="182" t="s">
        <v>930</v>
      </c>
      <c r="D266" s="182" t="s">
        <v>891</v>
      </c>
      <c r="E266" s="337" t="s">
        <v>923</v>
      </c>
      <c r="F266" s="67">
        <v>4.4489999999999998</v>
      </c>
      <c r="G266" s="337" t="s">
        <v>1049</v>
      </c>
      <c r="H266" s="69" t="s">
        <v>1959</v>
      </c>
      <c r="I266" s="73">
        <v>34.200000000000003</v>
      </c>
      <c r="J266" s="67">
        <v>0.73850000000000005</v>
      </c>
      <c r="K266" s="73">
        <v>15</v>
      </c>
      <c r="L266" s="303">
        <v>2019</v>
      </c>
      <c r="M266" s="293" t="s">
        <v>1208</v>
      </c>
      <c r="N266" s="293" t="s">
        <v>859</v>
      </c>
    </row>
    <row r="267" spans="1:14" ht="19.5" x14ac:dyDescent="0.25">
      <c r="A267" s="101"/>
      <c r="B267" s="562" t="s">
        <v>555</v>
      </c>
      <c r="C267" s="564"/>
      <c r="D267" s="169"/>
      <c r="E267" s="47"/>
      <c r="F267" s="88">
        <v>4.4489999999999998</v>
      </c>
      <c r="G267" s="47"/>
      <c r="H267" s="47"/>
      <c r="I267" s="47"/>
      <c r="J267" s="98">
        <v>0.73850000000000005</v>
      </c>
      <c r="K267" s="47"/>
      <c r="L267" s="296"/>
      <c r="M267" s="293"/>
      <c r="N267" s="293"/>
    </row>
    <row r="268" spans="1:14" ht="51" customHeight="1" x14ac:dyDescent="0.25">
      <c r="A268" s="101">
        <v>98</v>
      </c>
      <c r="B268" s="291" t="s">
        <v>925</v>
      </c>
      <c r="C268" s="182" t="s">
        <v>932</v>
      </c>
      <c r="D268" s="182" t="s">
        <v>891</v>
      </c>
      <c r="E268" s="337" t="s">
        <v>931</v>
      </c>
      <c r="F268" s="67">
        <v>5.2640000000000002</v>
      </c>
      <c r="G268" s="337" t="s">
        <v>1049</v>
      </c>
      <c r="H268" s="69" t="s">
        <v>1959</v>
      </c>
      <c r="I268" s="73">
        <v>40.5</v>
      </c>
      <c r="J268" s="67">
        <v>0.87380000000000002</v>
      </c>
      <c r="K268" s="73">
        <v>15</v>
      </c>
      <c r="L268" s="303">
        <v>2019</v>
      </c>
      <c r="M268" s="293" t="s">
        <v>1208</v>
      </c>
      <c r="N268" s="293" t="s">
        <v>859</v>
      </c>
    </row>
    <row r="269" spans="1:14" ht="19.5" x14ac:dyDescent="0.25">
      <c r="A269" s="101"/>
      <c r="B269" s="562" t="s">
        <v>555</v>
      </c>
      <c r="C269" s="564"/>
      <c r="D269" s="169"/>
      <c r="E269" s="47"/>
      <c r="F269" s="88">
        <v>5.2640000000000002</v>
      </c>
      <c r="G269" s="47"/>
      <c r="H269" s="47"/>
      <c r="I269" s="47"/>
      <c r="J269" s="98">
        <v>0.87380000000000002</v>
      </c>
      <c r="K269" s="47"/>
      <c r="L269" s="296"/>
      <c r="M269" s="293"/>
      <c r="N269" s="293"/>
    </row>
    <row r="270" spans="1:14" ht="66.75" customHeight="1" x14ac:dyDescent="0.25">
      <c r="A270" s="101">
        <v>99</v>
      </c>
      <c r="B270" s="291" t="s">
        <v>925</v>
      </c>
      <c r="C270" s="182" t="s">
        <v>933</v>
      </c>
      <c r="D270" s="182" t="s">
        <v>891</v>
      </c>
      <c r="E270" s="337" t="s">
        <v>931</v>
      </c>
      <c r="F270" s="67">
        <v>5.86</v>
      </c>
      <c r="G270" s="337" t="s">
        <v>1049</v>
      </c>
      <c r="H270" s="69" t="s">
        <v>1959</v>
      </c>
      <c r="I270" s="73">
        <v>45.1</v>
      </c>
      <c r="J270" s="67">
        <v>0.9728</v>
      </c>
      <c r="K270" s="73">
        <v>15</v>
      </c>
      <c r="L270" s="303">
        <v>2019</v>
      </c>
      <c r="M270" s="293" t="s">
        <v>1208</v>
      </c>
      <c r="N270" s="293" t="s">
        <v>859</v>
      </c>
    </row>
    <row r="271" spans="1:14" ht="19.5" x14ac:dyDescent="0.25">
      <c r="A271" s="101"/>
      <c r="B271" s="562" t="s">
        <v>555</v>
      </c>
      <c r="C271" s="564"/>
      <c r="D271" s="169"/>
      <c r="E271" s="47"/>
      <c r="F271" s="88">
        <v>5.86</v>
      </c>
      <c r="G271" s="47"/>
      <c r="H271" s="47"/>
      <c r="I271" s="47"/>
      <c r="J271" s="98">
        <v>0.9728</v>
      </c>
      <c r="K271" s="47"/>
      <c r="L271" s="296"/>
      <c r="M271" s="293"/>
      <c r="N271" s="293"/>
    </row>
    <row r="272" spans="1:14" ht="66.75" customHeight="1" x14ac:dyDescent="0.25">
      <c r="A272" s="101">
        <v>100</v>
      </c>
      <c r="B272" s="291" t="s">
        <v>925</v>
      </c>
      <c r="C272" s="182" t="s">
        <v>934</v>
      </c>
      <c r="D272" s="182" t="s">
        <v>891</v>
      </c>
      <c r="E272" s="337" t="s">
        <v>931</v>
      </c>
      <c r="F272" s="67">
        <v>4.4210000000000003</v>
      </c>
      <c r="G272" s="337" t="s">
        <v>1049</v>
      </c>
      <c r="H272" s="69" t="s">
        <v>1959</v>
      </c>
      <c r="I272" s="73">
        <v>34</v>
      </c>
      <c r="J272" s="67">
        <v>0.7339</v>
      </c>
      <c r="K272" s="73">
        <v>15</v>
      </c>
      <c r="L272" s="303">
        <v>2019</v>
      </c>
      <c r="M272" s="293" t="s">
        <v>1208</v>
      </c>
      <c r="N272" s="293" t="s">
        <v>859</v>
      </c>
    </row>
    <row r="273" spans="1:14" ht="19.5" x14ac:dyDescent="0.25">
      <c r="A273" s="101"/>
      <c r="B273" s="562" t="s">
        <v>555</v>
      </c>
      <c r="C273" s="564"/>
      <c r="D273" s="169"/>
      <c r="E273" s="47"/>
      <c r="F273" s="88">
        <v>4.4210000000000003</v>
      </c>
      <c r="G273" s="47"/>
      <c r="H273" s="47"/>
      <c r="I273" s="47"/>
      <c r="J273" s="98">
        <v>0.7339</v>
      </c>
      <c r="K273" s="47"/>
      <c r="L273" s="296"/>
      <c r="M273" s="293"/>
      <c r="N273" s="293"/>
    </row>
    <row r="274" spans="1:14" ht="66.75" customHeight="1" x14ac:dyDescent="0.25">
      <c r="A274" s="101">
        <v>101</v>
      </c>
      <c r="B274" s="291" t="s">
        <v>925</v>
      </c>
      <c r="C274" s="182" t="s">
        <v>935</v>
      </c>
      <c r="D274" s="182" t="s">
        <v>891</v>
      </c>
      <c r="E274" s="337" t="s">
        <v>380</v>
      </c>
      <c r="F274" s="67">
        <v>5.3979999999999997</v>
      </c>
      <c r="G274" s="337" t="s">
        <v>1049</v>
      </c>
      <c r="H274" s="69" t="s">
        <v>1959</v>
      </c>
      <c r="I274" s="73">
        <v>41.6</v>
      </c>
      <c r="J274" s="67">
        <v>0.89610000000000001</v>
      </c>
      <c r="K274" s="73">
        <v>15</v>
      </c>
      <c r="L274" s="303">
        <v>2019</v>
      </c>
      <c r="M274" s="293" t="s">
        <v>1208</v>
      </c>
      <c r="N274" s="293" t="s">
        <v>859</v>
      </c>
    </row>
    <row r="275" spans="1:14" ht="19.5" x14ac:dyDescent="0.25">
      <c r="A275" s="101"/>
      <c r="B275" s="562" t="s">
        <v>555</v>
      </c>
      <c r="C275" s="564"/>
      <c r="D275" s="169"/>
      <c r="E275" s="47"/>
      <c r="F275" s="88">
        <v>5.3979999999999997</v>
      </c>
      <c r="G275" s="47"/>
      <c r="H275" s="47"/>
      <c r="I275" s="47"/>
      <c r="J275" s="98">
        <v>0.89610000000000001</v>
      </c>
      <c r="K275" s="47"/>
      <c r="L275" s="296"/>
      <c r="M275" s="293"/>
      <c r="N275" s="293"/>
    </row>
    <row r="276" spans="1:14" ht="51" customHeight="1" x14ac:dyDescent="0.25">
      <c r="A276" s="101">
        <v>102</v>
      </c>
      <c r="B276" s="291" t="s">
        <v>925</v>
      </c>
      <c r="C276" s="182" t="s">
        <v>936</v>
      </c>
      <c r="D276" s="182" t="s">
        <v>891</v>
      </c>
      <c r="E276" s="337" t="s">
        <v>380</v>
      </c>
      <c r="F276" s="67">
        <v>5.0720000000000001</v>
      </c>
      <c r="G276" s="337" t="s">
        <v>1049</v>
      </c>
      <c r="H276" s="69" t="s">
        <v>1959</v>
      </c>
      <c r="I276" s="73">
        <v>39</v>
      </c>
      <c r="J276" s="67">
        <v>0.84199999999999997</v>
      </c>
      <c r="K276" s="73">
        <v>15</v>
      </c>
      <c r="L276" s="303">
        <v>2019</v>
      </c>
      <c r="M276" s="293" t="s">
        <v>1208</v>
      </c>
      <c r="N276" s="293" t="s">
        <v>859</v>
      </c>
    </row>
    <row r="277" spans="1:14" ht="19.5" x14ac:dyDescent="0.25">
      <c r="A277" s="101"/>
      <c r="B277" s="562" t="s">
        <v>555</v>
      </c>
      <c r="C277" s="564"/>
      <c r="D277" s="169"/>
      <c r="E277" s="47"/>
      <c r="F277" s="88">
        <v>5.0720000000000001</v>
      </c>
      <c r="G277" s="47"/>
      <c r="H277" s="47"/>
      <c r="I277" s="47"/>
      <c r="J277" s="98">
        <v>0.84199999999999997</v>
      </c>
      <c r="K277" s="47"/>
      <c r="L277" s="296"/>
      <c r="M277" s="293"/>
      <c r="N277" s="293"/>
    </row>
    <row r="278" spans="1:14" ht="51" customHeight="1" x14ac:dyDescent="0.25">
      <c r="A278" s="101">
        <v>103</v>
      </c>
      <c r="B278" s="291" t="s">
        <v>925</v>
      </c>
      <c r="C278" s="182" t="s">
        <v>937</v>
      </c>
      <c r="D278" s="182" t="s">
        <v>891</v>
      </c>
      <c r="E278" s="337" t="s">
        <v>931</v>
      </c>
      <c r="F278" s="67">
        <v>6.2009999999999996</v>
      </c>
      <c r="G278" s="337" t="s">
        <v>1049</v>
      </c>
      <c r="H278" s="69" t="s">
        <v>1959</v>
      </c>
      <c r="I278" s="73">
        <v>47.7</v>
      </c>
      <c r="J278" s="67">
        <v>1.0294000000000001</v>
      </c>
      <c r="K278" s="73">
        <v>15</v>
      </c>
      <c r="L278" s="303">
        <v>2019</v>
      </c>
      <c r="M278" s="293" t="s">
        <v>1208</v>
      </c>
      <c r="N278" s="293" t="s">
        <v>859</v>
      </c>
    </row>
    <row r="279" spans="1:14" ht="19.5" x14ac:dyDescent="0.25">
      <c r="A279" s="101"/>
      <c r="B279" s="562" t="s">
        <v>555</v>
      </c>
      <c r="C279" s="564"/>
      <c r="D279" s="169"/>
      <c r="E279" s="47"/>
      <c r="F279" s="88">
        <v>6.2009999999999996</v>
      </c>
      <c r="G279" s="47"/>
      <c r="H279" s="47"/>
      <c r="I279" s="47"/>
      <c r="J279" s="98">
        <v>1.0294000000000001</v>
      </c>
      <c r="K279" s="47"/>
      <c r="L279" s="296"/>
      <c r="M279" s="293"/>
      <c r="N279" s="293"/>
    </row>
    <row r="280" spans="1:14" ht="51" customHeight="1" x14ac:dyDescent="0.25">
      <c r="A280" s="101">
        <v>104</v>
      </c>
      <c r="B280" s="291" t="s">
        <v>925</v>
      </c>
      <c r="C280" s="182" t="s">
        <v>938</v>
      </c>
      <c r="D280" s="182" t="s">
        <v>891</v>
      </c>
      <c r="E280" s="337" t="s">
        <v>931</v>
      </c>
      <c r="F280" s="67">
        <v>5.73</v>
      </c>
      <c r="G280" s="337" t="s">
        <v>1049</v>
      </c>
      <c r="H280" s="69" t="s">
        <v>1959</v>
      </c>
      <c r="I280" s="73">
        <v>44.1</v>
      </c>
      <c r="J280" s="67">
        <v>0.95120000000000005</v>
      </c>
      <c r="K280" s="73">
        <v>15</v>
      </c>
      <c r="L280" s="303">
        <v>2019</v>
      </c>
      <c r="M280" s="293" t="s">
        <v>1208</v>
      </c>
      <c r="N280" s="293" t="s">
        <v>859</v>
      </c>
    </row>
    <row r="281" spans="1:14" ht="19.5" x14ac:dyDescent="0.25">
      <c r="A281" s="101"/>
      <c r="B281" s="562" t="s">
        <v>555</v>
      </c>
      <c r="C281" s="564"/>
      <c r="D281" s="169"/>
      <c r="E281" s="47"/>
      <c r="F281" s="88">
        <v>5.73</v>
      </c>
      <c r="G281" s="47"/>
      <c r="H281" s="47"/>
      <c r="I281" s="47"/>
      <c r="J281" s="98">
        <v>0.95120000000000005</v>
      </c>
      <c r="K281" s="47"/>
      <c r="L281" s="296"/>
      <c r="M281" s="293"/>
      <c r="N281" s="293"/>
    </row>
    <row r="282" spans="1:14" ht="51" customHeight="1" x14ac:dyDescent="0.25">
      <c r="A282" s="101">
        <v>105</v>
      </c>
      <c r="B282" s="291" t="s">
        <v>925</v>
      </c>
      <c r="C282" s="182" t="s">
        <v>939</v>
      </c>
      <c r="D282" s="182" t="s">
        <v>891</v>
      </c>
      <c r="E282" s="337" t="s">
        <v>931</v>
      </c>
      <c r="F282" s="67">
        <v>8.1229999999999993</v>
      </c>
      <c r="G282" s="337" t="s">
        <v>1049</v>
      </c>
      <c r="H282" s="69" t="s">
        <v>1959</v>
      </c>
      <c r="I282" s="73">
        <v>62.5</v>
      </c>
      <c r="J282" s="67">
        <v>1.3484</v>
      </c>
      <c r="K282" s="73">
        <v>15</v>
      </c>
      <c r="L282" s="303">
        <v>2019</v>
      </c>
      <c r="M282" s="293" t="s">
        <v>1208</v>
      </c>
      <c r="N282" s="293" t="s">
        <v>859</v>
      </c>
    </row>
    <row r="283" spans="1:14" ht="19.5" x14ac:dyDescent="0.25">
      <c r="A283" s="101"/>
      <c r="B283" s="562" t="s">
        <v>555</v>
      </c>
      <c r="C283" s="564"/>
      <c r="D283" s="169"/>
      <c r="E283" s="47"/>
      <c r="F283" s="88">
        <v>8.1229999999999993</v>
      </c>
      <c r="G283" s="47"/>
      <c r="H283" s="47"/>
      <c r="I283" s="47"/>
      <c r="J283" s="98">
        <v>1.3484</v>
      </c>
      <c r="K283" s="47"/>
      <c r="L283" s="296"/>
      <c r="M283" s="293"/>
      <c r="N283" s="293"/>
    </row>
    <row r="284" spans="1:14" ht="51" customHeight="1" x14ac:dyDescent="0.25">
      <c r="A284" s="101">
        <v>106</v>
      </c>
      <c r="B284" s="291" t="s">
        <v>921</v>
      </c>
      <c r="C284" s="182" t="s">
        <v>1043</v>
      </c>
      <c r="D284" s="182" t="s">
        <v>891</v>
      </c>
      <c r="E284" s="337" t="s">
        <v>931</v>
      </c>
      <c r="F284" s="67">
        <v>4.8250000000000002</v>
      </c>
      <c r="G284" s="337" t="s">
        <v>1049</v>
      </c>
      <c r="H284" s="69" t="s">
        <v>1959</v>
      </c>
      <c r="I284" s="73">
        <v>37.1</v>
      </c>
      <c r="J284" s="67">
        <v>0.80100000000000005</v>
      </c>
      <c r="K284" s="73">
        <v>15</v>
      </c>
      <c r="L284" s="303">
        <v>2019</v>
      </c>
      <c r="M284" s="293" t="s">
        <v>1208</v>
      </c>
      <c r="N284" s="293" t="s">
        <v>859</v>
      </c>
    </row>
    <row r="285" spans="1:14" ht="19.5" x14ac:dyDescent="0.25">
      <c r="A285" s="101"/>
      <c r="B285" s="562" t="s">
        <v>555</v>
      </c>
      <c r="C285" s="564"/>
      <c r="D285" s="169"/>
      <c r="E285" s="47"/>
      <c r="F285" s="88">
        <v>4.8250000000000002</v>
      </c>
      <c r="G285" s="47"/>
      <c r="H285" s="47"/>
      <c r="I285" s="47"/>
      <c r="J285" s="98">
        <v>0.80100000000000005</v>
      </c>
      <c r="K285" s="47"/>
      <c r="L285" s="296"/>
      <c r="M285" s="293"/>
      <c r="N285" s="293"/>
    </row>
    <row r="286" spans="1:14" ht="51" customHeight="1" x14ac:dyDescent="0.25">
      <c r="A286" s="101">
        <v>107</v>
      </c>
      <c r="B286" s="291" t="s">
        <v>925</v>
      </c>
      <c r="C286" s="182" t="s">
        <v>940</v>
      </c>
      <c r="D286" s="182" t="s">
        <v>891</v>
      </c>
      <c r="E286" s="337" t="s">
        <v>931</v>
      </c>
      <c r="F286" s="67">
        <v>10.321999999999999</v>
      </c>
      <c r="G286" s="337" t="s">
        <v>1049</v>
      </c>
      <c r="H286" s="69" t="s">
        <v>1959</v>
      </c>
      <c r="I286" s="73">
        <v>79.5</v>
      </c>
      <c r="J286" s="67">
        <v>1.7135</v>
      </c>
      <c r="K286" s="73">
        <v>15</v>
      </c>
      <c r="L286" s="303">
        <v>2019</v>
      </c>
      <c r="M286" s="293" t="s">
        <v>1208</v>
      </c>
      <c r="N286" s="293" t="s">
        <v>859</v>
      </c>
    </row>
    <row r="287" spans="1:14" ht="19.5" x14ac:dyDescent="0.25">
      <c r="A287" s="101"/>
      <c r="B287" s="562" t="s">
        <v>555</v>
      </c>
      <c r="C287" s="564"/>
      <c r="D287" s="169"/>
      <c r="E287" s="47"/>
      <c r="F287" s="88">
        <v>10.321999999999999</v>
      </c>
      <c r="G287" s="47"/>
      <c r="H287" s="47"/>
      <c r="I287" s="47"/>
      <c r="J287" s="98">
        <v>1.7135</v>
      </c>
      <c r="K287" s="47"/>
      <c r="L287" s="296"/>
      <c r="M287" s="293"/>
      <c r="N287" s="293"/>
    </row>
    <row r="288" spans="1:14" ht="69" customHeight="1" x14ac:dyDescent="0.25">
      <c r="A288" s="101">
        <v>108</v>
      </c>
      <c r="B288" s="291" t="s">
        <v>921</v>
      </c>
      <c r="C288" s="182" t="s">
        <v>941</v>
      </c>
      <c r="D288" s="182" t="s">
        <v>891</v>
      </c>
      <c r="E288" s="337" t="s">
        <v>931</v>
      </c>
      <c r="F288" s="67">
        <v>4.9020000000000001</v>
      </c>
      <c r="G288" s="337" t="s">
        <v>1049</v>
      </c>
      <c r="H288" s="69" t="s">
        <v>1959</v>
      </c>
      <c r="I288" s="73">
        <v>37.700000000000003</v>
      </c>
      <c r="J288" s="67">
        <v>0.81369999999999998</v>
      </c>
      <c r="K288" s="73">
        <v>15</v>
      </c>
      <c r="L288" s="303">
        <v>2019</v>
      </c>
      <c r="M288" s="293" t="s">
        <v>1208</v>
      </c>
      <c r="N288" s="293" t="s">
        <v>859</v>
      </c>
    </row>
    <row r="289" spans="1:14" ht="19.5" x14ac:dyDescent="0.25">
      <c r="A289" s="101"/>
      <c r="B289" s="562" t="s">
        <v>555</v>
      </c>
      <c r="C289" s="564"/>
      <c r="D289" s="169"/>
      <c r="E289" s="47"/>
      <c r="F289" s="88">
        <v>4.9020000000000001</v>
      </c>
      <c r="G289" s="47"/>
      <c r="H289" s="47"/>
      <c r="I289" s="47"/>
      <c r="J289" s="98">
        <v>0.81369999999999998</v>
      </c>
      <c r="K289" s="47"/>
      <c r="L289" s="296"/>
      <c r="M289" s="293"/>
      <c r="N289" s="293"/>
    </row>
    <row r="290" spans="1:14" ht="65.25" customHeight="1" x14ac:dyDescent="0.25">
      <c r="A290" s="101">
        <v>109</v>
      </c>
      <c r="B290" s="291" t="s">
        <v>925</v>
      </c>
      <c r="C290" s="182" t="s">
        <v>1044</v>
      </c>
      <c r="D290" s="182" t="s">
        <v>891</v>
      </c>
      <c r="E290" s="337" t="s">
        <v>931</v>
      </c>
      <c r="F290" s="67">
        <v>2.59</v>
      </c>
      <c r="G290" s="337" t="s">
        <v>1049</v>
      </c>
      <c r="H290" s="69" t="s">
        <v>1959</v>
      </c>
      <c r="I290" s="73">
        <v>19.899999999999999</v>
      </c>
      <c r="J290" s="67">
        <v>0.4299</v>
      </c>
      <c r="K290" s="73">
        <v>15</v>
      </c>
      <c r="L290" s="303">
        <v>2019</v>
      </c>
      <c r="M290" s="293" t="s">
        <v>1208</v>
      </c>
      <c r="N290" s="293" t="s">
        <v>859</v>
      </c>
    </row>
    <row r="291" spans="1:14" ht="19.5" x14ac:dyDescent="0.25">
      <c r="A291" s="101"/>
      <c r="B291" s="562" t="s">
        <v>555</v>
      </c>
      <c r="C291" s="564"/>
      <c r="D291" s="169"/>
      <c r="E291" s="47"/>
      <c r="F291" s="88">
        <v>2.59</v>
      </c>
      <c r="G291" s="47"/>
      <c r="H291" s="47"/>
      <c r="I291" s="47"/>
      <c r="J291" s="98">
        <v>0.4299</v>
      </c>
      <c r="K291" s="47"/>
      <c r="L291" s="296"/>
      <c r="M291" s="293"/>
      <c r="N291" s="293"/>
    </row>
    <row r="292" spans="1:14" ht="51" customHeight="1" x14ac:dyDescent="0.25">
      <c r="A292" s="101">
        <v>110</v>
      </c>
      <c r="B292" s="291" t="s">
        <v>921</v>
      </c>
      <c r="C292" s="182" t="s">
        <v>942</v>
      </c>
      <c r="D292" s="182" t="s">
        <v>891</v>
      </c>
      <c r="E292" s="337" t="s">
        <v>931</v>
      </c>
      <c r="F292" s="67">
        <v>6.0709999999999997</v>
      </c>
      <c r="G292" s="337" t="s">
        <v>1049</v>
      </c>
      <c r="H292" s="69" t="s">
        <v>1959</v>
      </c>
      <c r="I292" s="73">
        <v>46.7</v>
      </c>
      <c r="J292" s="67">
        <v>1.0078</v>
      </c>
      <c r="K292" s="73">
        <v>15</v>
      </c>
      <c r="L292" s="303">
        <v>2019</v>
      </c>
      <c r="M292" s="293" t="s">
        <v>1208</v>
      </c>
      <c r="N292" s="293" t="s">
        <v>859</v>
      </c>
    </row>
    <row r="293" spans="1:14" ht="19.5" x14ac:dyDescent="0.25">
      <c r="A293" s="101"/>
      <c r="B293" s="562" t="s">
        <v>555</v>
      </c>
      <c r="C293" s="564"/>
      <c r="D293" s="169"/>
      <c r="E293" s="47"/>
      <c r="F293" s="88">
        <v>6.0709999999999997</v>
      </c>
      <c r="G293" s="47"/>
      <c r="H293" s="47"/>
      <c r="I293" s="47"/>
      <c r="J293" s="98">
        <v>1.0078</v>
      </c>
      <c r="K293" s="47"/>
      <c r="L293" s="296"/>
      <c r="M293" s="293"/>
      <c r="N293" s="293"/>
    </row>
    <row r="294" spans="1:14" ht="66.75" customHeight="1" x14ac:dyDescent="0.25">
      <c r="A294" s="101">
        <v>111</v>
      </c>
      <c r="B294" s="291" t="s">
        <v>921</v>
      </c>
      <c r="C294" s="182" t="s">
        <v>943</v>
      </c>
      <c r="D294" s="182" t="s">
        <v>891</v>
      </c>
      <c r="E294" s="337" t="s">
        <v>931</v>
      </c>
      <c r="F294" s="67">
        <v>6.2240000000000002</v>
      </c>
      <c r="G294" s="337" t="s">
        <v>1049</v>
      </c>
      <c r="H294" s="69" t="s">
        <v>1959</v>
      </c>
      <c r="I294" s="73">
        <v>47.9</v>
      </c>
      <c r="J294" s="67">
        <v>1.0331999999999999</v>
      </c>
      <c r="K294" s="73">
        <v>15</v>
      </c>
      <c r="L294" s="303">
        <v>2019</v>
      </c>
      <c r="M294" s="293" t="s">
        <v>1208</v>
      </c>
      <c r="N294" s="293" t="s">
        <v>859</v>
      </c>
    </row>
    <row r="295" spans="1:14" ht="19.5" x14ac:dyDescent="0.25">
      <c r="A295" s="101"/>
      <c r="B295" s="562" t="s">
        <v>555</v>
      </c>
      <c r="C295" s="564"/>
      <c r="D295" s="169"/>
      <c r="E295" s="47"/>
      <c r="F295" s="88">
        <v>6.2240000000000002</v>
      </c>
      <c r="G295" s="47"/>
      <c r="H295" s="47"/>
      <c r="I295" s="47"/>
      <c r="J295" s="98">
        <v>1.0331999999999999</v>
      </c>
      <c r="K295" s="47"/>
      <c r="L295" s="296"/>
      <c r="M295" s="293"/>
      <c r="N295" s="293"/>
    </row>
    <row r="296" spans="1:14" ht="51" customHeight="1" x14ac:dyDescent="0.25">
      <c r="A296" s="101">
        <v>112</v>
      </c>
      <c r="B296" s="291" t="s">
        <v>921</v>
      </c>
      <c r="C296" s="182" t="s">
        <v>944</v>
      </c>
      <c r="D296" s="182" t="s">
        <v>891</v>
      </c>
      <c r="E296" s="337" t="s">
        <v>931</v>
      </c>
      <c r="F296" s="67">
        <v>2.6269999999999998</v>
      </c>
      <c r="G296" s="337" t="s">
        <v>1049</v>
      </c>
      <c r="H296" s="69" t="s">
        <v>1959</v>
      </c>
      <c r="I296" s="73">
        <v>20.2</v>
      </c>
      <c r="J296" s="67">
        <v>0.43609999999999999</v>
      </c>
      <c r="K296" s="73">
        <v>15</v>
      </c>
      <c r="L296" s="303">
        <v>2019</v>
      </c>
      <c r="M296" s="293" t="s">
        <v>1208</v>
      </c>
      <c r="N296" s="293" t="s">
        <v>859</v>
      </c>
    </row>
    <row r="297" spans="1:14" ht="19.5" x14ac:dyDescent="0.25">
      <c r="A297" s="101"/>
      <c r="B297" s="562" t="s">
        <v>555</v>
      </c>
      <c r="C297" s="564"/>
      <c r="D297" s="169"/>
      <c r="E297" s="47"/>
      <c r="F297" s="88">
        <v>2.6269999999999998</v>
      </c>
      <c r="G297" s="47"/>
      <c r="H297" s="47"/>
      <c r="I297" s="47"/>
      <c r="J297" s="98">
        <v>0.43609999999999999</v>
      </c>
      <c r="K297" s="47"/>
      <c r="L297" s="296"/>
      <c r="M297" s="293"/>
      <c r="N297" s="293"/>
    </row>
    <row r="298" spans="1:14" ht="51" customHeight="1" x14ac:dyDescent="0.25">
      <c r="A298" s="101">
        <v>113</v>
      </c>
      <c r="B298" s="291" t="s">
        <v>925</v>
      </c>
      <c r="C298" s="182" t="s">
        <v>945</v>
      </c>
      <c r="D298" s="182" t="s">
        <v>891</v>
      </c>
      <c r="E298" s="337" t="s">
        <v>931</v>
      </c>
      <c r="F298" s="67">
        <v>8.0340000000000007</v>
      </c>
      <c r="G298" s="337" t="s">
        <v>1049</v>
      </c>
      <c r="H298" s="69" t="s">
        <v>1959</v>
      </c>
      <c r="I298" s="73">
        <v>61.8</v>
      </c>
      <c r="J298" s="67">
        <v>1.3335999999999999</v>
      </c>
      <c r="K298" s="73">
        <v>15</v>
      </c>
      <c r="L298" s="303">
        <v>2019</v>
      </c>
      <c r="M298" s="293" t="s">
        <v>1208</v>
      </c>
      <c r="N298" s="293" t="s">
        <v>859</v>
      </c>
    </row>
    <row r="299" spans="1:14" ht="19.5" x14ac:dyDescent="0.25">
      <c r="A299" s="101"/>
      <c r="B299" s="562" t="s">
        <v>555</v>
      </c>
      <c r="C299" s="564"/>
      <c r="D299" s="169"/>
      <c r="E299" s="47"/>
      <c r="F299" s="88">
        <v>8.0340000000000007</v>
      </c>
      <c r="G299" s="47"/>
      <c r="H299" s="47"/>
      <c r="I299" s="47"/>
      <c r="J299" s="98">
        <v>1.3335999999999999</v>
      </c>
      <c r="K299" s="47"/>
      <c r="L299" s="296"/>
      <c r="M299" s="293"/>
      <c r="N299" s="293"/>
    </row>
    <row r="300" spans="1:14" ht="51" customHeight="1" x14ac:dyDescent="0.25">
      <c r="A300" s="101">
        <v>114</v>
      </c>
      <c r="B300" s="291" t="s">
        <v>921</v>
      </c>
      <c r="C300" s="182" t="s">
        <v>946</v>
      </c>
      <c r="D300" s="182" t="s">
        <v>891</v>
      </c>
      <c r="E300" s="337" t="s">
        <v>931</v>
      </c>
      <c r="F300" s="67">
        <v>5.39</v>
      </c>
      <c r="G300" s="337" t="s">
        <v>1049</v>
      </c>
      <c r="H300" s="69" t="s">
        <v>1959</v>
      </c>
      <c r="I300" s="73">
        <v>41.5</v>
      </c>
      <c r="J300" s="67">
        <v>0.89470000000000005</v>
      </c>
      <c r="K300" s="73">
        <v>15</v>
      </c>
      <c r="L300" s="303">
        <v>2019</v>
      </c>
      <c r="M300" s="293" t="s">
        <v>1208</v>
      </c>
      <c r="N300" s="293" t="s">
        <v>859</v>
      </c>
    </row>
    <row r="301" spans="1:14" ht="19.5" x14ac:dyDescent="0.25">
      <c r="A301" s="101"/>
      <c r="B301" s="562" t="s">
        <v>555</v>
      </c>
      <c r="C301" s="564"/>
      <c r="D301" s="169"/>
      <c r="E301" s="47"/>
      <c r="F301" s="88">
        <v>5.39</v>
      </c>
      <c r="G301" s="47"/>
      <c r="H301" s="47"/>
      <c r="I301" s="47"/>
      <c r="J301" s="98">
        <v>0.89470000000000005</v>
      </c>
      <c r="K301" s="47"/>
      <c r="L301" s="296"/>
      <c r="M301" s="293"/>
      <c r="N301" s="293"/>
    </row>
    <row r="302" spans="1:14" ht="38.25" customHeight="1" x14ac:dyDescent="0.25">
      <c r="A302" s="74">
        <v>115</v>
      </c>
      <c r="B302" s="291" t="s">
        <v>947</v>
      </c>
      <c r="C302" s="182" t="s">
        <v>948</v>
      </c>
      <c r="D302" s="182" t="s">
        <v>949</v>
      </c>
      <c r="E302" s="337" t="s">
        <v>950</v>
      </c>
      <c r="F302" s="67">
        <v>12.925000000000001</v>
      </c>
      <c r="G302" s="337" t="s">
        <v>951</v>
      </c>
      <c r="H302" s="74" t="s">
        <v>553</v>
      </c>
      <c r="I302" s="74">
        <v>30905</v>
      </c>
      <c r="J302" s="74">
        <v>0.55600000000000005</v>
      </c>
      <c r="K302" s="74">
        <v>5</v>
      </c>
      <c r="L302" s="303">
        <v>2019</v>
      </c>
      <c r="M302" s="293" t="s">
        <v>1107</v>
      </c>
      <c r="N302" s="293" t="s">
        <v>554</v>
      </c>
    </row>
    <row r="303" spans="1:14" ht="19.5" x14ac:dyDescent="0.25">
      <c r="A303" s="404"/>
      <c r="B303" s="562" t="s">
        <v>555</v>
      </c>
      <c r="C303" s="564"/>
      <c r="D303" s="169"/>
      <c r="E303" s="47"/>
      <c r="F303" s="88">
        <v>12.9</v>
      </c>
      <c r="G303" s="47"/>
      <c r="H303" s="47"/>
      <c r="I303" s="47"/>
      <c r="J303" s="98">
        <v>0.55600000000000005</v>
      </c>
      <c r="K303" s="47"/>
      <c r="L303" s="296"/>
      <c r="M303" s="293"/>
      <c r="N303" s="293"/>
    </row>
    <row r="304" spans="1:14" ht="38.25" customHeight="1" x14ac:dyDescent="0.25">
      <c r="A304" s="74">
        <v>116</v>
      </c>
      <c r="B304" s="291" t="s">
        <v>947</v>
      </c>
      <c r="C304" s="182" t="s">
        <v>952</v>
      </c>
      <c r="D304" s="182" t="s">
        <v>953</v>
      </c>
      <c r="E304" s="337" t="s">
        <v>954</v>
      </c>
      <c r="F304" s="67">
        <v>31.191191963510001</v>
      </c>
      <c r="G304" s="337" t="s">
        <v>955</v>
      </c>
      <c r="H304" s="74" t="s">
        <v>553</v>
      </c>
      <c r="I304" s="74">
        <v>572090</v>
      </c>
      <c r="J304" s="74">
        <v>10.297000000000001</v>
      </c>
      <c r="K304" s="74">
        <v>15</v>
      </c>
      <c r="L304" s="303">
        <v>2019</v>
      </c>
      <c r="M304" s="293" t="s">
        <v>1107</v>
      </c>
      <c r="N304" s="293" t="s">
        <v>554</v>
      </c>
    </row>
    <row r="305" spans="1:14" ht="19.5" x14ac:dyDescent="0.25">
      <c r="A305" s="404"/>
      <c r="B305" s="562" t="s">
        <v>555</v>
      </c>
      <c r="C305" s="564"/>
      <c r="D305" s="169"/>
      <c r="E305" s="47"/>
      <c r="F305" s="88">
        <v>31.190999999999999</v>
      </c>
      <c r="G305" s="47"/>
      <c r="H305" s="47"/>
      <c r="I305" s="47"/>
      <c r="J305" s="98">
        <v>10.297000000000001</v>
      </c>
      <c r="K305" s="47"/>
      <c r="L305" s="296"/>
      <c r="M305" s="293"/>
      <c r="N305" s="293"/>
    </row>
    <row r="306" spans="1:14" ht="37.5" x14ac:dyDescent="0.25">
      <c r="A306" s="427">
        <v>117</v>
      </c>
      <c r="B306" s="430" t="s">
        <v>956</v>
      </c>
      <c r="C306" s="532" t="s">
        <v>957</v>
      </c>
      <c r="D306" s="186" t="s">
        <v>626</v>
      </c>
      <c r="E306" s="516" t="s">
        <v>957</v>
      </c>
      <c r="F306" s="75">
        <v>1.3</v>
      </c>
      <c r="G306" s="516" t="s">
        <v>963</v>
      </c>
      <c r="H306" s="79" t="s">
        <v>1960</v>
      </c>
      <c r="I306" s="80">
        <v>2.5</v>
      </c>
      <c r="J306" s="75">
        <v>0.5</v>
      </c>
      <c r="K306" s="73"/>
      <c r="L306" s="516">
        <v>2019</v>
      </c>
      <c r="M306" s="576" t="s">
        <v>864</v>
      </c>
      <c r="N306" s="576" t="s">
        <v>554</v>
      </c>
    </row>
    <row r="307" spans="1:14" ht="25.5" customHeight="1" x14ac:dyDescent="0.25">
      <c r="A307" s="427"/>
      <c r="B307" s="430"/>
      <c r="C307" s="532"/>
      <c r="D307" s="186" t="s">
        <v>958</v>
      </c>
      <c r="E307" s="581"/>
      <c r="F307" s="75">
        <v>0.2</v>
      </c>
      <c r="G307" s="581"/>
      <c r="H307" s="79" t="s">
        <v>1963</v>
      </c>
      <c r="I307" s="80">
        <v>0.06</v>
      </c>
      <c r="J307" s="75">
        <v>3.5</v>
      </c>
      <c r="K307" s="73"/>
      <c r="L307" s="581"/>
      <c r="M307" s="580"/>
      <c r="N307" s="580"/>
    </row>
    <row r="308" spans="1:14" ht="25.5" customHeight="1" x14ac:dyDescent="0.25">
      <c r="A308" s="427"/>
      <c r="B308" s="430"/>
      <c r="C308" s="532"/>
      <c r="D308" s="186" t="s">
        <v>959</v>
      </c>
      <c r="E308" s="581"/>
      <c r="F308" s="75">
        <v>0.5</v>
      </c>
      <c r="G308" s="581"/>
      <c r="H308" s="79" t="s">
        <v>1964</v>
      </c>
      <c r="I308" s="80">
        <v>3.5</v>
      </c>
      <c r="J308" s="75">
        <v>0.15</v>
      </c>
      <c r="K308" s="73"/>
      <c r="L308" s="581"/>
      <c r="M308" s="580"/>
      <c r="N308" s="580"/>
    </row>
    <row r="309" spans="1:14" ht="25.5" customHeight="1" x14ac:dyDescent="0.25">
      <c r="A309" s="427"/>
      <c r="B309" s="430"/>
      <c r="C309" s="532"/>
      <c r="D309" s="186" t="s">
        <v>960</v>
      </c>
      <c r="E309" s="581"/>
      <c r="F309" s="75">
        <v>3.4</v>
      </c>
      <c r="G309" s="581"/>
      <c r="H309" s="79" t="s">
        <v>1965</v>
      </c>
      <c r="I309" s="80">
        <v>6.6</v>
      </c>
      <c r="J309" s="75">
        <v>0.5</v>
      </c>
      <c r="K309" s="73"/>
      <c r="L309" s="581"/>
      <c r="M309" s="580"/>
      <c r="N309" s="580"/>
    </row>
    <row r="310" spans="1:14" ht="33.75" customHeight="1" x14ac:dyDescent="0.25">
      <c r="A310" s="427"/>
      <c r="B310" s="430"/>
      <c r="C310" s="532"/>
      <c r="D310" s="186" t="s">
        <v>961</v>
      </c>
      <c r="E310" s="581"/>
      <c r="F310" s="75">
        <v>0.4</v>
      </c>
      <c r="G310" s="581"/>
      <c r="H310" s="79" t="s">
        <v>1966</v>
      </c>
      <c r="I310" s="80">
        <v>1.5</v>
      </c>
      <c r="J310" s="75">
        <v>0.3</v>
      </c>
      <c r="K310" s="73"/>
      <c r="L310" s="581"/>
      <c r="M310" s="580"/>
      <c r="N310" s="580"/>
    </row>
    <row r="311" spans="1:14" ht="18.75" x14ac:dyDescent="0.25">
      <c r="A311" s="427"/>
      <c r="B311" s="430"/>
      <c r="C311" s="532"/>
      <c r="D311" s="187" t="s">
        <v>962</v>
      </c>
      <c r="E311" s="517"/>
      <c r="F311" s="75">
        <v>0.255</v>
      </c>
      <c r="G311" s="517"/>
      <c r="H311" s="79" t="s">
        <v>1967</v>
      </c>
      <c r="I311" s="80">
        <v>0.432</v>
      </c>
      <c r="J311" s="75">
        <v>0.6</v>
      </c>
      <c r="K311" s="73"/>
      <c r="L311" s="517"/>
      <c r="M311" s="577"/>
      <c r="N311" s="577"/>
    </row>
    <row r="312" spans="1:14" ht="19.5" x14ac:dyDescent="0.25">
      <c r="A312" s="101"/>
      <c r="B312" s="562" t="s">
        <v>555</v>
      </c>
      <c r="C312" s="564"/>
      <c r="D312" s="169"/>
      <c r="E312" s="47"/>
      <c r="F312" s="88">
        <f>SUM(F306:F311)</f>
        <v>6.0550000000000006</v>
      </c>
      <c r="G312" s="47"/>
      <c r="H312" s="48"/>
      <c r="I312" s="48"/>
      <c r="J312" s="88">
        <f>SUM(J306:J311)</f>
        <v>5.55</v>
      </c>
      <c r="K312" s="47"/>
      <c r="L312" s="296"/>
      <c r="M312" s="293"/>
      <c r="N312" s="293"/>
    </row>
    <row r="313" spans="1:14" s="10" customFormat="1" ht="20.25" customHeight="1" x14ac:dyDescent="0.25">
      <c r="A313" s="51"/>
      <c r="B313" s="572" t="s">
        <v>964</v>
      </c>
      <c r="C313" s="573"/>
      <c r="D313" s="574"/>
      <c r="E313" s="174"/>
      <c r="F313" s="88">
        <f>F211+F213+F215+F217+F219+F221+F223+F225+F227+F229+F231+F233+F235+F237+F239+F241+F243+F245+F247+F249+F251+F253+F255+F257+F259+F261+F263+F265+F267+F269+F271+F273+F275+F277+F279+F281+F283+F285+F287+F289+F291+F293+F295+F297+F299+F301+F303+F305+F312</f>
        <v>37169.05356600001</v>
      </c>
      <c r="G313" s="174"/>
      <c r="H313" s="407"/>
      <c r="I313" s="407"/>
      <c r="J313" s="52">
        <f>J211+J213+J215+J217+J219+J221+J223+J225+J227+J229+J231+J233+J235+J237+J239+J241+J243+J245+J247+J249+J251+J253+J255+J257+J259+J261+J263+J265+J267+J269+J271+J273+J275+J277+J279+J281+J283+J285+J287+J289+J291+J293+J295+J297+J299+J301+J303+J305+J312</f>
        <v>1243.0516260000006</v>
      </c>
      <c r="K313" s="51"/>
      <c r="L313" s="299"/>
      <c r="M313" s="295"/>
      <c r="N313" s="295"/>
    </row>
    <row r="314" spans="1:14" s="6" customFormat="1" ht="38.25" customHeight="1" x14ac:dyDescent="0.25">
      <c r="A314" s="101">
        <v>118</v>
      </c>
      <c r="B314" s="108" t="s">
        <v>965</v>
      </c>
      <c r="C314" s="117" t="s">
        <v>966</v>
      </c>
      <c r="D314" s="117" t="s">
        <v>967</v>
      </c>
      <c r="E314" s="101" t="s">
        <v>968</v>
      </c>
      <c r="F314" s="81">
        <f>2950000/1000000</f>
        <v>2.95</v>
      </c>
      <c r="G314" s="101" t="s">
        <v>1050</v>
      </c>
      <c r="H314" s="82" t="s">
        <v>1961</v>
      </c>
      <c r="I314" s="83">
        <v>9554833</v>
      </c>
      <c r="J314" s="81">
        <f>138430/1000</f>
        <v>138.43</v>
      </c>
      <c r="K314" s="101">
        <v>15</v>
      </c>
      <c r="L314" s="101">
        <v>2020</v>
      </c>
      <c r="M314" s="101" t="s">
        <v>1955</v>
      </c>
      <c r="N314" s="101" t="s">
        <v>859</v>
      </c>
    </row>
    <row r="315" spans="1:14" s="6" customFormat="1" ht="19.5" x14ac:dyDescent="0.25">
      <c r="A315" s="101"/>
      <c r="B315" s="562" t="s">
        <v>555</v>
      </c>
      <c r="C315" s="564"/>
      <c r="D315" s="117"/>
      <c r="E315" s="101"/>
      <c r="F315" s="94">
        <f>F314</f>
        <v>2.95</v>
      </c>
      <c r="G315" s="101"/>
      <c r="H315" s="328"/>
      <c r="I315" s="101"/>
      <c r="J315" s="94">
        <f>J314</f>
        <v>138.43</v>
      </c>
      <c r="K315" s="101"/>
      <c r="L315" s="101"/>
      <c r="M315" s="101"/>
      <c r="N315" s="101"/>
    </row>
    <row r="316" spans="1:14" s="6" customFormat="1" ht="38.25" customHeight="1" x14ac:dyDescent="0.25">
      <c r="A316" s="101">
        <v>119</v>
      </c>
      <c r="B316" s="108" t="s">
        <v>965</v>
      </c>
      <c r="C316" s="117" t="s">
        <v>969</v>
      </c>
      <c r="D316" s="117" t="s">
        <v>967</v>
      </c>
      <c r="E316" s="101" t="s">
        <v>968</v>
      </c>
      <c r="F316" s="81">
        <f>1850000/1000</f>
        <v>1850</v>
      </c>
      <c r="G316" s="101" t="s">
        <v>1051</v>
      </c>
      <c r="H316" s="82" t="s">
        <v>1961</v>
      </c>
      <c r="I316" s="83">
        <v>5001398</v>
      </c>
      <c r="J316" s="81">
        <v>72.459999999999994</v>
      </c>
      <c r="K316" s="101">
        <v>15</v>
      </c>
      <c r="L316" s="101">
        <v>2020</v>
      </c>
      <c r="M316" s="101" t="s">
        <v>1955</v>
      </c>
      <c r="N316" s="101" t="s">
        <v>859</v>
      </c>
    </row>
    <row r="317" spans="1:14" s="6" customFormat="1" ht="19.5" x14ac:dyDescent="0.25">
      <c r="A317" s="101"/>
      <c r="B317" s="562" t="s">
        <v>555</v>
      </c>
      <c r="C317" s="564"/>
      <c r="D317" s="117"/>
      <c r="E317" s="101"/>
      <c r="F317" s="94">
        <f>F316</f>
        <v>1850</v>
      </c>
      <c r="G317" s="101"/>
      <c r="H317" s="328"/>
      <c r="I317" s="328"/>
      <c r="J317" s="94">
        <f>J316</f>
        <v>72.459999999999994</v>
      </c>
      <c r="K317" s="101"/>
      <c r="L317" s="101"/>
      <c r="M317" s="101"/>
      <c r="N317" s="101"/>
    </row>
    <row r="318" spans="1:14" s="6" customFormat="1" ht="15.75" customHeight="1" x14ac:dyDescent="0.25">
      <c r="A318" s="101">
        <v>120</v>
      </c>
      <c r="B318" s="108" t="s">
        <v>970</v>
      </c>
      <c r="C318" s="187" t="s">
        <v>971</v>
      </c>
      <c r="D318" s="121" t="s">
        <v>971</v>
      </c>
      <c r="E318" s="101" t="s">
        <v>972</v>
      </c>
      <c r="F318" s="102">
        <v>1.72</v>
      </c>
      <c r="G318" s="101" t="s">
        <v>428</v>
      </c>
      <c r="H318" s="101" t="s">
        <v>37</v>
      </c>
      <c r="I318" s="101">
        <v>206.328</v>
      </c>
      <c r="J318" s="102">
        <v>1.8492999999999999</v>
      </c>
      <c r="K318" s="101">
        <v>1.1000000000000001</v>
      </c>
      <c r="L318" s="101">
        <v>2019</v>
      </c>
      <c r="M318" s="293" t="s">
        <v>864</v>
      </c>
      <c r="N318" s="293" t="s">
        <v>554</v>
      </c>
    </row>
    <row r="319" spans="1:14" s="6" customFormat="1" ht="19.5" x14ac:dyDescent="0.25">
      <c r="A319" s="101"/>
      <c r="B319" s="562" t="s">
        <v>555</v>
      </c>
      <c r="C319" s="564"/>
      <c r="D319" s="117"/>
      <c r="E319" s="101"/>
      <c r="F319" s="37">
        <f>F318</f>
        <v>1.72</v>
      </c>
      <c r="G319" s="101"/>
      <c r="H319" s="101"/>
      <c r="I319" s="101"/>
      <c r="J319" s="37">
        <f>J318</f>
        <v>1.8492999999999999</v>
      </c>
      <c r="K319" s="101"/>
      <c r="L319" s="101"/>
      <c r="M319" s="101"/>
      <c r="N319" s="101"/>
    </row>
    <row r="320" spans="1:14" s="6" customFormat="1" ht="15.75" customHeight="1" x14ac:dyDescent="0.25">
      <c r="A320" s="101">
        <v>121</v>
      </c>
      <c r="B320" s="108" t="s">
        <v>973</v>
      </c>
      <c r="C320" s="187" t="s">
        <v>776</v>
      </c>
      <c r="D320" s="121" t="s">
        <v>671</v>
      </c>
      <c r="E320" s="101" t="s">
        <v>973</v>
      </c>
      <c r="F320" s="102">
        <v>10.15</v>
      </c>
      <c r="G320" s="101" t="s">
        <v>1971</v>
      </c>
      <c r="H320" s="101" t="s">
        <v>974</v>
      </c>
      <c r="I320" s="101">
        <v>109.62</v>
      </c>
      <c r="J320" s="102">
        <v>1.5149999999999999</v>
      </c>
      <c r="K320" s="101">
        <v>4.3</v>
      </c>
      <c r="L320" s="101">
        <v>2019</v>
      </c>
      <c r="M320" s="101" t="s">
        <v>1955</v>
      </c>
      <c r="N320" s="293" t="s">
        <v>554</v>
      </c>
    </row>
    <row r="321" spans="1:14" s="6" customFormat="1" ht="19.5" x14ac:dyDescent="0.25">
      <c r="A321" s="101"/>
      <c r="B321" s="562" t="s">
        <v>555</v>
      </c>
      <c r="C321" s="564"/>
      <c r="D321" s="117"/>
      <c r="E321" s="101"/>
      <c r="F321" s="37">
        <f>F320</f>
        <v>10.15</v>
      </c>
      <c r="G321" s="101"/>
      <c r="H321" s="101"/>
      <c r="I321" s="101"/>
      <c r="J321" s="37">
        <f>J320</f>
        <v>1.5149999999999999</v>
      </c>
      <c r="K321" s="101"/>
      <c r="L321" s="101"/>
      <c r="M321" s="101"/>
      <c r="N321" s="101"/>
    </row>
    <row r="322" spans="1:14" s="6" customFormat="1" ht="25.5" customHeight="1" x14ac:dyDescent="0.25">
      <c r="A322" s="101">
        <v>122</v>
      </c>
      <c r="B322" s="108" t="s">
        <v>975</v>
      </c>
      <c r="C322" s="187" t="s">
        <v>976</v>
      </c>
      <c r="D322" s="121" t="s">
        <v>671</v>
      </c>
      <c r="E322" s="101" t="s">
        <v>975</v>
      </c>
      <c r="F322" s="102">
        <v>1.8049999999999999</v>
      </c>
      <c r="G322" s="101" t="s">
        <v>1971</v>
      </c>
      <c r="H322" s="101" t="s">
        <v>1961</v>
      </c>
      <c r="I322" s="101">
        <v>107060</v>
      </c>
      <c r="J322" s="102">
        <v>0.888598</v>
      </c>
      <c r="K322" s="101">
        <v>2</v>
      </c>
      <c r="L322" s="101">
        <v>2020</v>
      </c>
      <c r="M322" s="101" t="s">
        <v>863</v>
      </c>
      <c r="N322" s="293" t="s">
        <v>554</v>
      </c>
    </row>
    <row r="323" spans="1:14" s="6" customFormat="1" ht="19.5" x14ac:dyDescent="0.25">
      <c r="A323" s="101"/>
      <c r="B323" s="562" t="s">
        <v>555</v>
      </c>
      <c r="C323" s="564"/>
      <c r="D323" s="117"/>
      <c r="E323" s="101"/>
      <c r="F323" s="37">
        <f>F322</f>
        <v>1.8049999999999999</v>
      </c>
      <c r="G323" s="101"/>
      <c r="H323" s="101"/>
      <c r="I323" s="101"/>
      <c r="J323" s="37">
        <f>J322</f>
        <v>0.888598</v>
      </c>
      <c r="K323" s="101"/>
      <c r="L323" s="101"/>
      <c r="M323" s="101"/>
      <c r="N323" s="101"/>
    </row>
    <row r="324" spans="1:14" s="6" customFormat="1" ht="37.5" x14ac:dyDescent="0.25">
      <c r="A324" s="101">
        <v>123</v>
      </c>
      <c r="B324" s="108" t="s">
        <v>975</v>
      </c>
      <c r="C324" s="187" t="s">
        <v>977</v>
      </c>
      <c r="D324" s="121" t="s">
        <v>977</v>
      </c>
      <c r="E324" s="101" t="s">
        <v>975</v>
      </c>
      <c r="F324" s="102">
        <v>1.84</v>
      </c>
      <c r="G324" s="101" t="s">
        <v>1971</v>
      </c>
      <c r="H324" s="101" t="s">
        <v>37</v>
      </c>
      <c r="I324" s="101">
        <v>51.7</v>
      </c>
      <c r="J324" s="102">
        <v>0.34069700000000003</v>
      </c>
      <c r="K324" s="101">
        <v>5.4</v>
      </c>
      <c r="L324" s="101">
        <v>2020</v>
      </c>
      <c r="M324" s="101" t="s">
        <v>863</v>
      </c>
      <c r="N324" s="293" t="s">
        <v>554</v>
      </c>
    </row>
    <row r="325" spans="1:14" s="6" customFormat="1" ht="19.5" x14ac:dyDescent="0.25">
      <c r="A325" s="101"/>
      <c r="B325" s="562" t="s">
        <v>555</v>
      </c>
      <c r="C325" s="564"/>
      <c r="D325" s="117"/>
      <c r="E325" s="101"/>
      <c r="F325" s="37">
        <f>F324</f>
        <v>1.84</v>
      </c>
      <c r="G325" s="101"/>
      <c r="H325" s="101"/>
      <c r="I325" s="101"/>
      <c r="J325" s="37">
        <f>J324</f>
        <v>0.34069700000000003</v>
      </c>
      <c r="K325" s="101"/>
      <c r="L325" s="101"/>
      <c r="M325" s="101"/>
      <c r="N325" s="101"/>
    </row>
    <row r="326" spans="1:14" s="6" customFormat="1" ht="43.5" customHeight="1" x14ac:dyDescent="0.25">
      <c r="A326" s="101">
        <v>124</v>
      </c>
      <c r="B326" s="108" t="s">
        <v>978</v>
      </c>
      <c r="C326" s="187" t="s">
        <v>626</v>
      </c>
      <c r="D326" s="121" t="s">
        <v>671</v>
      </c>
      <c r="E326" s="101" t="s">
        <v>978</v>
      </c>
      <c r="F326" s="102">
        <v>5.78</v>
      </c>
      <c r="G326" s="101" t="s">
        <v>1971</v>
      </c>
      <c r="H326" s="101" t="s">
        <v>1961</v>
      </c>
      <c r="I326" s="101">
        <v>46.298000000000002</v>
      </c>
      <c r="J326" s="102">
        <v>0.73614100000000005</v>
      </c>
      <c r="K326" s="101">
        <v>7.8</v>
      </c>
      <c r="L326" s="101">
        <v>2020</v>
      </c>
      <c r="M326" s="101" t="s">
        <v>860</v>
      </c>
      <c r="N326" s="293" t="s">
        <v>554</v>
      </c>
    </row>
    <row r="327" spans="1:14" s="6" customFormat="1" ht="19.5" x14ac:dyDescent="0.25">
      <c r="A327" s="101"/>
      <c r="B327" s="562" t="s">
        <v>555</v>
      </c>
      <c r="C327" s="564"/>
      <c r="D327" s="117"/>
      <c r="E327" s="101"/>
      <c r="F327" s="37">
        <f>F326</f>
        <v>5.78</v>
      </c>
      <c r="G327" s="101"/>
      <c r="H327" s="101"/>
      <c r="I327" s="101"/>
      <c r="J327" s="37">
        <f>J326</f>
        <v>0.73614100000000005</v>
      </c>
      <c r="K327" s="101"/>
      <c r="L327" s="101"/>
      <c r="M327" s="101"/>
      <c r="N327" s="101"/>
    </row>
    <row r="328" spans="1:14" s="6" customFormat="1" ht="25.5" customHeight="1" x14ac:dyDescent="0.25">
      <c r="A328" s="449">
        <v>125</v>
      </c>
      <c r="B328" s="452" t="s">
        <v>979</v>
      </c>
      <c r="C328" s="495" t="s">
        <v>626</v>
      </c>
      <c r="D328" s="121" t="s">
        <v>958</v>
      </c>
      <c r="E328" s="449" t="s">
        <v>979</v>
      </c>
      <c r="F328" s="84">
        <f>1320/1000</f>
        <v>1.32</v>
      </c>
      <c r="G328" s="449" t="s">
        <v>1971</v>
      </c>
      <c r="H328" s="101" t="s">
        <v>1961</v>
      </c>
      <c r="I328" s="90">
        <v>58086</v>
      </c>
      <c r="J328" s="102">
        <f>232.344/1000</f>
        <v>0.23234399999999999</v>
      </c>
      <c r="K328" s="449">
        <v>7.8</v>
      </c>
      <c r="L328" s="449">
        <v>2020</v>
      </c>
      <c r="M328" s="449" t="s">
        <v>867</v>
      </c>
      <c r="N328" s="449" t="s">
        <v>554</v>
      </c>
    </row>
    <row r="329" spans="1:14" s="6" customFormat="1" ht="25.5" customHeight="1" x14ac:dyDescent="0.25">
      <c r="A329" s="433"/>
      <c r="B329" s="434"/>
      <c r="C329" s="496"/>
      <c r="D329" s="121" t="s">
        <v>980</v>
      </c>
      <c r="E329" s="433"/>
      <c r="F329" s="84">
        <f>2000/1000</f>
        <v>2</v>
      </c>
      <c r="G329" s="433"/>
      <c r="H329" s="101" t="s">
        <v>1961</v>
      </c>
      <c r="I329" s="90">
        <v>8898</v>
      </c>
      <c r="J329" s="85">
        <f>35.592/1000</f>
        <v>3.5591999999999999E-2</v>
      </c>
      <c r="K329" s="433"/>
      <c r="L329" s="433"/>
      <c r="M329" s="433"/>
      <c r="N329" s="433"/>
    </row>
    <row r="330" spans="1:14" s="6" customFormat="1" ht="19.5" x14ac:dyDescent="0.25">
      <c r="A330" s="101"/>
      <c r="B330" s="562" t="s">
        <v>555</v>
      </c>
      <c r="C330" s="564"/>
      <c r="D330" s="117"/>
      <c r="E330" s="101"/>
      <c r="F330" s="37">
        <f>F328+F329</f>
        <v>3.3200000000000003</v>
      </c>
      <c r="G330" s="101"/>
      <c r="H330" s="101"/>
      <c r="I330" s="101"/>
      <c r="J330" s="37">
        <f>J328+J329</f>
        <v>0.26793600000000001</v>
      </c>
      <c r="K330" s="102">
        <f>F330+F333</f>
        <v>148.46899999999999</v>
      </c>
      <c r="L330" s="101"/>
      <c r="M330" s="101"/>
      <c r="N330" s="101"/>
    </row>
    <row r="331" spans="1:14" s="6" customFormat="1" ht="33.75" customHeight="1" x14ac:dyDescent="0.25">
      <c r="A331" s="578">
        <v>126</v>
      </c>
      <c r="B331" s="452" t="s">
        <v>981</v>
      </c>
      <c r="C331" s="495" t="s">
        <v>982</v>
      </c>
      <c r="D331" s="121" t="s">
        <v>983</v>
      </c>
      <c r="E331" s="449" t="s">
        <v>981</v>
      </c>
      <c r="F331" s="102">
        <f>62461/1000</f>
        <v>62.460999999999999</v>
      </c>
      <c r="G331" s="449" t="s">
        <v>1971</v>
      </c>
      <c r="H331" s="101" t="s">
        <v>1961</v>
      </c>
      <c r="I331" s="90">
        <v>1153.268</v>
      </c>
      <c r="J331" s="102">
        <f>4613.072/1000</f>
        <v>4.6130719999999998</v>
      </c>
      <c r="K331" s="101">
        <v>13.54</v>
      </c>
      <c r="L331" s="449">
        <v>2020</v>
      </c>
      <c r="M331" s="449" t="s">
        <v>867</v>
      </c>
      <c r="N331" s="449" t="s">
        <v>554</v>
      </c>
    </row>
    <row r="332" spans="1:14" ht="33.75" customHeight="1" x14ac:dyDescent="0.25">
      <c r="A332" s="579"/>
      <c r="B332" s="434"/>
      <c r="C332" s="496"/>
      <c r="D332" s="121" t="s">
        <v>984</v>
      </c>
      <c r="E332" s="433"/>
      <c r="F332" s="102">
        <f>82688/1000</f>
        <v>82.688000000000002</v>
      </c>
      <c r="G332" s="433"/>
      <c r="H332" s="101" t="s">
        <v>1961</v>
      </c>
      <c r="I332" s="90">
        <v>3224.96</v>
      </c>
      <c r="J332" s="102">
        <v>12.899850000000001</v>
      </c>
      <c r="K332" s="101">
        <v>6.5</v>
      </c>
      <c r="L332" s="433"/>
      <c r="M332" s="433"/>
      <c r="N332" s="433"/>
    </row>
    <row r="333" spans="1:14" s="6" customFormat="1" ht="15.75" customHeight="1" x14ac:dyDescent="0.25">
      <c r="A333" s="101"/>
      <c r="B333" s="562" t="s">
        <v>555</v>
      </c>
      <c r="C333" s="564"/>
      <c r="D333" s="117"/>
      <c r="E333" s="101"/>
      <c r="F333" s="37">
        <f>F331+F332</f>
        <v>145.149</v>
      </c>
      <c r="G333" s="101"/>
      <c r="H333" s="101"/>
      <c r="I333" s="101"/>
      <c r="J333" s="37">
        <f>J331+J332</f>
        <v>17.512922</v>
      </c>
      <c r="K333" s="101"/>
      <c r="L333" s="101"/>
      <c r="M333" s="101"/>
      <c r="N333" s="101"/>
    </row>
    <row r="334" spans="1:14" s="6" customFormat="1" ht="87.75" customHeight="1" x14ac:dyDescent="0.25">
      <c r="A334" s="101">
        <v>127</v>
      </c>
      <c r="B334" s="108" t="s">
        <v>985</v>
      </c>
      <c r="C334" s="117" t="s">
        <v>986</v>
      </c>
      <c r="D334" s="117" t="s">
        <v>986</v>
      </c>
      <c r="E334" s="101" t="s">
        <v>987</v>
      </c>
      <c r="F334" s="102">
        <f>3113084/1000</f>
        <v>3113.0839999999998</v>
      </c>
      <c r="G334" s="101" t="s">
        <v>988</v>
      </c>
      <c r="H334" s="101" t="s">
        <v>1961</v>
      </c>
      <c r="I334" s="90">
        <v>5543452</v>
      </c>
      <c r="J334" s="102">
        <f>157217/1000</f>
        <v>157.21700000000001</v>
      </c>
      <c r="K334" s="101">
        <v>5</v>
      </c>
      <c r="L334" s="101">
        <v>2020</v>
      </c>
      <c r="M334" s="101" t="s">
        <v>866</v>
      </c>
      <c r="N334" s="101" t="s">
        <v>859</v>
      </c>
    </row>
    <row r="335" spans="1:14" s="6" customFormat="1" ht="21.75" customHeight="1" x14ac:dyDescent="0.25">
      <c r="A335" s="101"/>
      <c r="B335" s="562" t="s">
        <v>555</v>
      </c>
      <c r="C335" s="564"/>
      <c r="D335" s="117"/>
      <c r="E335" s="101"/>
      <c r="F335" s="37">
        <f>F334</f>
        <v>3113.0839999999998</v>
      </c>
      <c r="G335" s="101"/>
      <c r="H335" s="101"/>
      <c r="I335" s="101"/>
      <c r="J335" s="37">
        <f>J334</f>
        <v>157.21700000000001</v>
      </c>
      <c r="K335" s="101"/>
      <c r="L335" s="101"/>
      <c r="M335" s="101"/>
      <c r="N335" s="101"/>
    </row>
    <row r="336" spans="1:14" s="6" customFormat="1" ht="157.5" customHeight="1" x14ac:dyDescent="0.25">
      <c r="A336" s="101">
        <v>128</v>
      </c>
      <c r="B336" s="108" t="s">
        <v>845</v>
      </c>
      <c r="C336" s="117" t="s">
        <v>989</v>
      </c>
      <c r="D336" s="117" t="s">
        <v>990</v>
      </c>
      <c r="E336" s="101" t="s">
        <v>833</v>
      </c>
      <c r="F336" s="87">
        <f>48880/1000</f>
        <v>48.88</v>
      </c>
      <c r="G336" s="101" t="s">
        <v>834</v>
      </c>
      <c r="H336" s="101" t="s">
        <v>283</v>
      </c>
      <c r="I336" s="90">
        <v>526077</v>
      </c>
      <c r="J336" s="87">
        <v>11.143000000000001</v>
      </c>
      <c r="K336" s="101">
        <v>3</v>
      </c>
      <c r="L336" s="339">
        <v>2019</v>
      </c>
      <c r="M336" s="293" t="s">
        <v>865</v>
      </c>
      <c r="N336" s="293" t="s">
        <v>554</v>
      </c>
    </row>
    <row r="337" spans="1:14" s="6" customFormat="1" ht="21.75" customHeight="1" x14ac:dyDescent="0.25">
      <c r="A337" s="101"/>
      <c r="B337" s="562" t="s">
        <v>555</v>
      </c>
      <c r="C337" s="564"/>
      <c r="D337" s="117"/>
      <c r="E337" s="101"/>
      <c r="F337" s="37">
        <f>F336</f>
        <v>48.88</v>
      </c>
      <c r="G337" s="101"/>
      <c r="H337" s="101"/>
      <c r="I337" s="101"/>
      <c r="J337" s="37">
        <f>J336</f>
        <v>11.143000000000001</v>
      </c>
      <c r="K337" s="101"/>
      <c r="L337" s="101"/>
      <c r="M337" s="101"/>
      <c r="N337" s="101"/>
    </row>
    <row r="338" spans="1:14" s="6" customFormat="1" ht="160.5" customHeight="1" x14ac:dyDescent="0.25">
      <c r="A338" s="101">
        <v>129</v>
      </c>
      <c r="B338" s="108" t="s">
        <v>845</v>
      </c>
      <c r="C338" s="117" t="s">
        <v>991</v>
      </c>
      <c r="D338" s="117" t="s">
        <v>990</v>
      </c>
      <c r="E338" s="101" t="s">
        <v>833</v>
      </c>
      <c r="F338" s="87">
        <v>33.524999999999999</v>
      </c>
      <c r="G338" s="101" t="s">
        <v>834</v>
      </c>
      <c r="H338" s="101" t="s">
        <v>283</v>
      </c>
      <c r="I338" s="90">
        <v>527570</v>
      </c>
      <c r="J338" s="87">
        <v>11.175000000000001</v>
      </c>
      <c r="K338" s="101">
        <v>3</v>
      </c>
      <c r="L338" s="339">
        <v>2020</v>
      </c>
      <c r="M338" s="293" t="s">
        <v>865</v>
      </c>
      <c r="N338" s="293" t="s">
        <v>554</v>
      </c>
    </row>
    <row r="339" spans="1:14" s="6" customFormat="1" ht="20.25" customHeight="1" x14ac:dyDescent="0.25">
      <c r="A339" s="101"/>
      <c r="B339" s="562" t="s">
        <v>555</v>
      </c>
      <c r="C339" s="564"/>
      <c r="D339" s="117"/>
      <c r="E339" s="101"/>
      <c r="F339" s="37">
        <f>F338</f>
        <v>33.524999999999999</v>
      </c>
      <c r="G339" s="101"/>
      <c r="H339" s="101"/>
      <c r="I339" s="101"/>
      <c r="J339" s="37">
        <f>J338</f>
        <v>11.175000000000001</v>
      </c>
      <c r="K339" s="101"/>
      <c r="L339" s="101"/>
      <c r="M339" s="101"/>
      <c r="N339" s="101"/>
    </row>
    <row r="340" spans="1:14" s="6" customFormat="1" ht="150" customHeight="1" x14ac:dyDescent="0.25">
      <c r="A340" s="101">
        <v>130</v>
      </c>
      <c r="B340" s="108" t="s">
        <v>845</v>
      </c>
      <c r="C340" s="117" t="s">
        <v>992</v>
      </c>
      <c r="D340" s="117" t="s">
        <v>990</v>
      </c>
      <c r="E340" s="101" t="s">
        <v>833</v>
      </c>
      <c r="F340" s="87">
        <v>33.293999999999997</v>
      </c>
      <c r="G340" s="101" t="s">
        <v>834</v>
      </c>
      <c r="H340" s="101" t="s">
        <v>283</v>
      </c>
      <c r="I340" s="90">
        <v>325427</v>
      </c>
      <c r="J340" s="87">
        <v>6.8929999999999998</v>
      </c>
      <c r="K340" s="101">
        <v>3</v>
      </c>
      <c r="L340" s="339">
        <v>2019</v>
      </c>
      <c r="M340" s="293" t="s">
        <v>865</v>
      </c>
      <c r="N340" s="293" t="s">
        <v>554</v>
      </c>
    </row>
    <row r="341" spans="1:14" s="6" customFormat="1" ht="20.25" customHeight="1" x14ac:dyDescent="0.25">
      <c r="A341" s="101"/>
      <c r="B341" s="562" t="s">
        <v>555</v>
      </c>
      <c r="C341" s="564"/>
      <c r="D341" s="117"/>
      <c r="E341" s="101"/>
      <c r="F341" s="37">
        <f>F340</f>
        <v>33.293999999999997</v>
      </c>
      <c r="G341" s="101"/>
      <c r="H341" s="101"/>
      <c r="I341" s="101"/>
      <c r="J341" s="37">
        <f>J340</f>
        <v>6.8929999999999998</v>
      </c>
      <c r="K341" s="101"/>
      <c r="L341" s="101"/>
      <c r="M341" s="101"/>
      <c r="N341" s="101"/>
    </row>
    <row r="342" spans="1:14" s="6" customFormat="1" ht="181.5" customHeight="1" x14ac:dyDescent="0.25">
      <c r="A342" s="101">
        <v>131</v>
      </c>
      <c r="B342" s="108" t="s">
        <v>845</v>
      </c>
      <c r="C342" s="117" t="s">
        <v>993</v>
      </c>
      <c r="D342" s="117" t="s">
        <v>990</v>
      </c>
      <c r="E342" s="101" t="s">
        <v>833</v>
      </c>
      <c r="F342" s="87">
        <v>30.201000000000001</v>
      </c>
      <c r="G342" s="101" t="s">
        <v>834</v>
      </c>
      <c r="H342" s="101" t="s">
        <v>283</v>
      </c>
      <c r="I342" s="90">
        <v>475262</v>
      </c>
      <c r="J342" s="87">
        <v>10.067</v>
      </c>
      <c r="K342" s="101">
        <v>3</v>
      </c>
      <c r="L342" s="339">
        <v>2019</v>
      </c>
      <c r="M342" s="293" t="s">
        <v>865</v>
      </c>
      <c r="N342" s="293" t="s">
        <v>554</v>
      </c>
    </row>
    <row r="343" spans="1:14" s="6" customFormat="1" ht="23.25" customHeight="1" x14ac:dyDescent="0.25">
      <c r="A343" s="101"/>
      <c r="B343" s="562" t="s">
        <v>555</v>
      </c>
      <c r="C343" s="564"/>
      <c r="D343" s="117"/>
      <c r="E343" s="101"/>
      <c r="F343" s="37">
        <f>F342</f>
        <v>30.201000000000001</v>
      </c>
      <c r="G343" s="101"/>
      <c r="H343" s="101"/>
      <c r="I343" s="101"/>
      <c r="J343" s="37">
        <f>J342</f>
        <v>10.067</v>
      </c>
      <c r="K343" s="101"/>
      <c r="L343" s="101"/>
      <c r="M343" s="101"/>
      <c r="N343" s="101"/>
    </row>
    <row r="344" spans="1:14" s="6" customFormat="1" ht="155.25" customHeight="1" x14ac:dyDescent="0.25">
      <c r="A344" s="101">
        <v>132</v>
      </c>
      <c r="B344" s="108" t="s">
        <v>845</v>
      </c>
      <c r="C344" s="117" t="s">
        <v>1045</v>
      </c>
      <c r="D344" s="117" t="s">
        <v>990</v>
      </c>
      <c r="E344" s="101" t="s">
        <v>833</v>
      </c>
      <c r="F344" s="87">
        <v>46.914999999999999</v>
      </c>
      <c r="G344" s="101" t="s">
        <v>834</v>
      </c>
      <c r="H344" s="101" t="s">
        <v>283</v>
      </c>
      <c r="I344" s="90">
        <v>738268</v>
      </c>
      <c r="J344" s="87">
        <v>15.638</v>
      </c>
      <c r="K344" s="101">
        <v>3</v>
      </c>
      <c r="L344" s="339">
        <v>2019</v>
      </c>
      <c r="M344" s="293" t="s">
        <v>865</v>
      </c>
      <c r="N344" s="293" t="s">
        <v>554</v>
      </c>
    </row>
    <row r="345" spans="1:14" s="6" customFormat="1" ht="24.75" customHeight="1" x14ac:dyDescent="0.25">
      <c r="A345" s="101"/>
      <c r="B345" s="562" t="s">
        <v>555</v>
      </c>
      <c r="C345" s="564"/>
      <c r="D345" s="117"/>
      <c r="E345" s="101"/>
      <c r="F345" s="37">
        <f>F344</f>
        <v>46.914999999999999</v>
      </c>
      <c r="G345" s="101"/>
      <c r="H345" s="101"/>
      <c r="I345" s="101"/>
      <c r="J345" s="37">
        <f>J344</f>
        <v>15.638</v>
      </c>
      <c r="K345" s="101"/>
      <c r="L345" s="101"/>
      <c r="M345" s="101"/>
      <c r="N345" s="101"/>
    </row>
    <row r="346" spans="1:14" s="6" customFormat="1" ht="174.75" customHeight="1" x14ac:dyDescent="0.25">
      <c r="A346" s="101">
        <v>133</v>
      </c>
      <c r="B346" s="108" t="s">
        <v>845</v>
      </c>
      <c r="C346" s="117" t="s">
        <v>994</v>
      </c>
      <c r="D346" s="117" t="s">
        <v>990</v>
      </c>
      <c r="E346" s="101" t="s">
        <v>833</v>
      </c>
      <c r="F346" s="87">
        <v>27.302</v>
      </c>
      <c r="G346" s="101" t="s">
        <v>834</v>
      </c>
      <c r="H346" s="101" t="s">
        <v>283</v>
      </c>
      <c r="I346" s="90">
        <v>387990</v>
      </c>
      <c r="J346" s="87">
        <v>8.218</v>
      </c>
      <c r="K346" s="101">
        <v>3</v>
      </c>
      <c r="L346" s="339">
        <v>2019</v>
      </c>
      <c r="M346" s="293" t="s">
        <v>865</v>
      </c>
      <c r="N346" s="293" t="s">
        <v>554</v>
      </c>
    </row>
    <row r="347" spans="1:14" s="6" customFormat="1" ht="20.25" customHeight="1" x14ac:dyDescent="0.25">
      <c r="A347" s="101"/>
      <c r="B347" s="562" t="s">
        <v>555</v>
      </c>
      <c r="C347" s="564"/>
      <c r="D347" s="117"/>
      <c r="E347" s="101"/>
      <c r="F347" s="37">
        <f>F346</f>
        <v>27.302</v>
      </c>
      <c r="G347" s="101"/>
      <c r="H347" s="101"/>
      <c r="I347" s="101"/>
      <c r="J347" s="37">
        <f>J346</f>
        <v>8.218</v>
      </c>
      <c r="K347" s="101"/>
      <c r="L347" s="101"/>
      <c r="M347" s="101"/>
      <c r="N347" s="101"/>
    </row>
    <row r="348" spans="1:14" s="6" customFormat="1" ht="105" customHeight="1" x14ac:dyDescent="0.25">
      <c r="A348" s="101">
        <v>134</v>
      </c>
      <c r="B348" s="108" t="s">
        <v>845</v>
      </c>
      <c r="C348" s="117" t="s">
        <v>995</v>
      </c>
      <c r="D348" s="117" t="s">
        <v>990</v>
      </c>
      <c r="E348" s="101" t="s">
        <v>833</v>
      </c>
      <c r="F348" s="87">
        <v>27.302</v>
      </c>
      <c r="G348" s="101" t="s">
        <v>834</v>
      </c>
      <c r="H348" s="101" t="s">
        <v>283</v>
      </c>
      <c r="I348" s="90">
        <v>345340</v>
      </c>
      <c r="J348" s="87">
        <v>8.218</v>
      </c>
      <c r="K348" s="101">
        <v>3</v>
      </c>
      <c r="L348" s="339">
        <v>2019</v>
      </c>
      <c r="M348" s="293" t="s">
        <v>865</v>
      </c>
      <c r="N348" s="293" t="s">
        <v>554</v>
      </c>
    </row>
    <row r="349" spans="1:14" s="6" customFormat="1" ht="19.5" x14ac:dyDescent="0.25">
      <c r="A349" s="101"/>
      <c r="B349" s="562" t="s">
        <v>555</v>
      </c>
      <c r="C349" s="564"/>
      <c r="D349" s="117"/>
      <c r="E349" s="101"/>
      <c r="F349" s="37">
        <f>F348</f>
        <v>27.302</v>
      </c>
      <c r="G349" s="101"/>
      <c r="H349" s="101"/>
      <c r="I349" s="101"/>
      <c r="J349" s="37">
        <f>J348</f>
        <v>8.218</v>
      </c>
      <c r="K349" s="101"/>
      <c r="L349" s="101"/>
      <c r="M349" s="101"/>
      <c r="N349" s="101"/>
    </row>
    <row r="350" spans="1:14" s="6" customFormat="1" ht="86.25" customHeight="1" x14ac:dyDescent="0.25">
      <c r="A350" s="101">
        <v>135</v>
      </c>
      <c r="B350" s="108" t="s">
        <v>1000</v>
      </c>
      <c r="C350" s="117" t="s">
        <v>996</v>
      </c>
      <c r="D350" s="117" t="s">
        <v>626</v>
      </c>
      <c r="E350" s="101" t="s">
        <v>850</v>
      </c>
      <c r="F350" s="87">
        <v>211.59970000000001</v>
      </c>
      <c r="G350" s="101" t="s">
        <v>628</v>
      </c>
      <c r="H350" s="101" t="s">
        <v>1961</v>
      </c>
      <c r="I350" s="90">
        <v>5580000</v>
      </c>
      <c r="J350" s="87">
        <v>41.369700000000002</v>
      </c>
      <c r="K350" s="101">
        <v>4.5</v>
      </c>
      <c r="L350" s="339">
        <v>2020</v>
      </c>
      <c r="M350" s="293" t="s">
        <v>864</v>
      </c>
      <c r="N350" s="293" t="s">
        <v>859</v>
      </c>
    </row>
    <row r="351" spans="1:14" s="6" customFormat="1" ht="19.5" x14ac:dyDescent="0.25">
      <c r="A351" s="101"/>
      <c r="B351" s="562" t="s">
        <v>555</v>
      </c>
      <c r="C351" s="564"/>
      <c r="D351" s="117"/>
      <c r="E351" s="101"/>
      <c r="F351" s="37">
        <f>F350</f>
        <v>211.59970000000001</v>
      </c>
      <c r="G351" s="101"/>
      <c r="H351" s="101"/>
      <c r="I351" s="101"/>
      <c r="J351" s="37">
        <f>J350</f>
        <v>41.369700000000002</v>
      </c>
      <c r="K351" s="101"/>
      <c r="L351" s="101"/>
      <c r="M351" s="101"/>
      <c r="N351" s="101"/>
    </row>
    <row r="352" spans="1:14" s="6" customFormat="1" ht="81" customHeight="1" x14ac:dyDescent="0.25">
      <c r="A352" s="101">
        <v>136</v>
      </c>
      <c r="B352" s="108" t="s">
        <v>997</v>
      </c>
      <c r="C352" s="117" t="s">
        <v>998</v>
      </c>
      <c r="D352" s="117" t="s">
        <v>967</v>
      </c>
      <c r="E352" s="101" t="s">
        <v>997</v>
      </c>
      <c r="F352" s="87">
        <f>55000/1000000</f>
        <v>5.5E-2</v>
      </c>
      <c r="G352" s="101" t="s">
        <v>1971</v>
      </c>
      <c r="H352" s="101" t="s">
        <v>1961</v>
      </c>
      <c r="I352" s="90">
        <v>2186.35</v>
      </c>
      <c r="J352" s="87">
        <f>31265/1000000</f>
        <v>3.1265000000000001E-2</v>
      </c>
      <c r="K352" s="101">
        <v>1.8</v>
      </c>
      <c r="L352" s="339">
        <v>2020</v>
      </c>
      <c r="M352" s="293" t="s">
        <v>1955</v>
      </c>
      <c r="N352" s="293" t="s">
        <v>859</v>
      </c>
    </row>
    <row r="353" spans="1:15" s="6" customFormat="1" ht="19.5" x14ac:dyDescent="0.25">
      <c r="A353" s="101"/>
      <c r="B353" s="562" t="s">
        <v>555</v>
      </c>
      <c r="C353" s="564"/>
      <c r="D353" s="117"/>
      <c r="E353" s="101"/>
      <c r="F353" s="37">
        <f>F352</f>
        <v>5.5E-2</v>
      </c>
      <c r="G353" s="101"/>
      <c r="H353" s="101" t="s">
        <v>1961</v>
      </c>
      <c r="I353" s="101"/>
      <c r="J353" s="37">
        <f>J352</f>
        <v>3.1265000000000001E-2</v>
      </c>
      <c r="K353" s="101"/>
      <c r="L353" s="101"/>
      <c r="M353" s="101"/>
      <c r="N353" s="101"/>
    </row>
    <row r="354" spans="1:15" s="6" customFormat="1" ht="81" customHeight="1" x14ac:dyDescent="0.25">
      <c r="A354" s="101">
        <v>137</v>
      </c>
      <c r="B354" s="108" t="s">
        <v>1001</v>
      </c>
      <c r="C354" s="117" t="s">
        <v>1002</v>
      </c>
      <c r="D354" s="117" t="s">
        <v>1003</v>
      </c>
      <c r="E354" s="101" t="s">
        <v>1001</v>
      </c>
      <c r="F354" s="87">
        <v>0.97</v>
      </c>
      <c r="G354" s="101" t="s">
        <v>1971</v>
      </c>
      <c r="H354" s="101" t="s">
        <v>37</v>
      </c>
      <c r="I354" s="90">
        <v>25.893000000000001</v>
      </c>
      <c r="J354" s="87">
        <f>217.685/1000</f>
        <v>0.21768499999999999</v>
      </c>
      <c r="K354" s="101">
        <v>4.3</v>
      </c>
      <c r="L354" s="339">
        <v>2020</v>
      </c>
      <c r="M354" s="293" t="s">
        <v>863</v>
      </c>
      <c r="N354" s="293" t="s">
        <v>859</v>
      </c>
    </row>
    <row r="355" spans="1:15" s="6" customFormat="1" ht="19.5" x14ac:dyDescent="0.25">
      <c r="A355" s="101"/>
      <c r="B355" s="562" t="s">
        <v>555</v>
      </c>
      <c r="C355" s="564"/>
      <c r="D355" s="117"/>
      <c r="E355" s="101"/>
      <c r="F355" s="37">
        <f>F354</f>
        <v>0.97</v>
      </c>
      <c r="G355" s="101"/>
      <c r="H355" s="101"/>
      <c r="I355" s="101"/>
      <c r="J355" s="37">
        <f>J354</f>
        <v>0.21768499999999999</v>
      </c>
      <c r="K355" s="101"/>
      <c r="L355" s="101"/>
      <c r="M355" s="101"/>
      <c r="N355" s="101"/>
    </row>
    <row r="356" spans="1:15" s="6" customFormat="1" ht="81" customHeight="1" x14ac:dyDescent="0.25">
      <c r="A356" s="101">
        <v>138</v>
      </c>
      <c r="B356" s="108" t="s">
        <v>1004</v>
      </c>
      <c r="C356" s="117" t="s">
        <v>1005</v>
      </c>
      <c r="D356" s="117" t="s">
        <v>1006</v>
      </c>
      <c r="E356" s="101" t="s">
        <v>1007</v>
      </c>
      <c r="F356" s="87">
        <f>73908.8/1000</f>
        <v>73.908799999999999</v>
      </c>
      <c r="G356" s="101" t="s">
        <v>1971</v>
      </c>
      <c r="H356" s="101" t="s">
        <v>1961</v>
      </c>
      <c r="I356" s="90">
        <v>146000</v>
      </c>
      <c r="J356" s="87">
        <f>4388760/1000000</f>
        <v>4.3887600000000004</v>
      </c>
      <c r="K356" s="101">
        <v>16</v>
      </c>
      <c r="L356" s="339">
        <v>2020</v>
      </c>
      <c r="M356" s="293" t="s">
        <v>864</v>
      </c>
      <c r="N356" s="101" t="s">
        <v>859</v>
      </c>
    </row>
    <row r="357" spans="1:15" s="6" customFormat="1" ht="19.5" x14ac:dyDescent="0.25">
      <c r="A357" s="101"/>
      <c r="B357" s="562" t="s">
        <v>555</v>
      </c>
      <c r="C357" s="564"/>
      <c r="D357" s="117"/>
      <c r="E357" s="101"/>
      <c r="F357" s="37">
        <f>F356</f>
        <v>73.908799999999999</v>
      </c>
      <c r="G357" s="101"/>
      <c r="H357" s="101"/>
      <c r="I357" s="101"/>
      <c r="J357" s="37">
        <f>J356</f>
        <v>4.3887600000000004</v>
      </c>
      <c r="K357" s="101"/>
      <c r="L357" s="101"/>
      <c r="M357" s="101"/>
      <c r="N357" s="101"/>
    </row>
    <row r="358" spans="1:15" s="6" customFormat="1" ht="81" customHeight="1" x14ac:dyDescent="0.25">
      <c r="A358" s="101">
        <v>139</v>
      </c>
      <c r="B358" s="108" t="s">
        <v>1008</v>
      </c>
      <c r="C358" s="121" t="s">
        <v>1009</v>
      </c>
      <c r="D358" s="121" t="s">
        <v>967</v>
      </c>
      <c r="E358" s="101" t="s">
        <v>1008</v>
      </c>
      <c r="F358" s="87">
        <f>7065/1000</f>
        <v>7.0650000000000004</v>
      </c>
      <c r="G358" s="101" t="s">
        <v>1971</v>
      </c>
      <c r="H358" s="101" t="s">
        <v>1961</v>
      </c>
      <c r="I358" s="90">
        <v>48600</v>
      </c>
      <c r="J358" s="87">
        <f>1007/1000</f>
        <v>1.0069999999999999</v>
      </c>
      <c r="K358" s="101">
        <v>7</v>
      </c>
      <c r="L358" s="339">
        <v>2020</v>
      </c>
      <c r="M358" s="101" t="s">
        <v>861</v>
      </c>
      <c r="N358" s="101" t="s">
        <v>859</v>
      </c>
    </row>
    <row r="359" spans="1:15" s="6" customFormat="1" ht="19.5" x14ac:dyDescent="0.25">
      <c r="A359" s="101"/>
      <c r="B359" s="562" t="s">
        <v>555</v>
      </c>
      <c r="C359" s="564"/>
      <c r="D359" s="117"/>
      <c r="E359" s="101"/>
      <c r="F359" s="37">
        <f>F358</f>
        <v>7.0650000000000004</v>
      </c>
      <c r="G359" s="101"/>
      <c r="H359" s="101"/>
      <c r="I359" s="101"/>
      <c r="J359" s="37">
        <f>J358</f>
        <v>1.0069999999999999</v>
      </c>
      <c r="K359" s="101"/>
      <c r="L359" s="101"/>
      <c r="M359" s="101"/>
      <c r="N359" s="101"/>
    </row>
    <row r="360" spans="1:15" s="6" customFormat="1" ht="54" customHeight="1" x14ac:dyDescent="0.25">
      <c r="A360" s="101">
        <v>140</v>
      </c>
      <c r="B360" s="108" t="s">
        <v>1011</v>
      </c>
      <c r="C360" s="121" t="s">
        <v>1010</v>
      </c>
      <c r="D360" s="121" t="s">
        <v>1010</v>
      </c>
      <c r="E360" s="101" t="s">
        <v>1012</v>
      </c>
      <c r="F360" s="87">
        <f>55000/1000</f>
        <v>55</v>
      </c>
      <c r="G360" s="101" t="s">
        <v>1971</v>
      </c>
      <c r="H360" s="101" t="s">
        <v>1961</v>
      </c>
      <c r="I360" s="90">
        <v>75000</v>
      </c>
      <c r="J360" s="87">
        <f>3225/1000</f>
        <v>3.2250000000000001</v>
      </c>
      <c r="K360" s="101">
        <v>17</v>
      </c>
      <c r="L360" s="339">
        <v>2020</v>
      </c>
      <c r="M360" s="293" t="s">
        <v>864</v>
      </c>
      <c r="N360" s="101" t="s">
        <v>859</v>
      </c>
    </row>
    <row r="361" spans="1:15" s="6" customFormat="1" ht="19.5" x14ac:dyDescent="0.25">
      <c r="A361" s="101"/>
      <c r="B361" s="562" t="s">
        <v>555</v>
      </c>
      <c r="C361" s="564"/>
      <c r="D361" s="117"/>
      <c r="E361" s="101"/>
      <c r="F361" s="37">
        <f>F360</f>
        <v>55</v>
      </c>
      <c r="G361" s="101"/>
      <c r="H361" s="101"/>
      <c r="I361" s="101"/>
      <c r="J361" s="37">
        <f>J360</f>
        <v>3.2250000000000001</v>
      </c>
      <c r="K361" s="101"/>
      <c r="L361" s="101"/>
      <c r="M361" s="101"/>
      <c r="N361" s="101"/>
    </row>
    <row r="362" spans="1:15" s="6" customFormat="1" ht="68.25" customHeight="1" x14ac:dyDescent="0.25">
      <c r="A362" s="101">
        <v>141</v>
      </c>
      <c r="B362" s="108" t="s">
        <v>1013</v>
      </c>
      <c r="C362" s="121" t="s">
        <v>1014</v>
      </c>
      <c r="D362" s="121" t="s">
        <v>1015</v>
      </c>
      <c r="E362" s="101" t="s">
        <v>1016</v>
      </c>
      <c r="F362" s="87">
        <f>92666/1000</f>
        <v>92.665999999999997</v>
      </c>
      <c r="G362" s="101" t="s">
        <v>999</v>
      </c>
      <c r="H362" s="101" t="s">
        <v>1961</v>
      </c>
      <c r="I362" s="90">
        <v>784195.2</v>
      </c>
      <c r="J362" s="87">
        <f>12798/1000</f>
        <v>12.798</v>
      </c>
      <c r="K362" s="101">
        <v>7</v>
      </c>
      <c r="L362" s="339">
        <v>2020</v>
      </c>
      <c r="M362" s="335" t="s">
        <v>1956</v>
      </c>
      <c r="N362" s="101" t="s">
        <v>859</v>
      </c>
    </row>
    <row r="363" spans="1:15" s="6" customFormat="1" ht="19.5" x14ac:dyDescent="0.25">
      <c r="A363" s="101"/>
      <c r="B363" s="562" t="s">
        <v>555</v>
      </c>
      <c r="C363" s="564"/>
      <c r="D363" s="117"/>
      <c r="E363" s="101"/>
      <c r="F363" s="37">
        <f>F362</f>
        <v>92.665999999999997</v>
      </c>
      <c r="G363" s="101"/>
      <c r="H363" s="101"/>
      <c r="I363" s="102"/>
      <c r="J363" s="37">
        <f>J362</f>
        <v>12.798</v>
      </c>
      <c r="K363" s="101"/>
      <c r="L363" s="101"/>
      <c r="M363" s="101"/>
      <c r="N363" s="101"/>
    </row>
    <row r="364" spans="1:15" s="6" customFormat="1" ht="24" customHeight="1" x14ac:dyDescent="0.25">
      <c r="A364" s="427">
        <v>142</v>
      </c>
      <c r="B364" s="452" t="s">
        <v>770</v>
      </c>
      <c r="C364" s="438" t="s">
        <v>1017</v>
      </c>
      <c r="D364" s="121" t="s">
        <v>1018</v>
      </c>
      <c r="E364" s="449" t="s">
        <v>770</v>
      </c>
      <c r="F364" s="87">
        <f>88198/1000*1.12</f>
        <v>98.781760000000006</v>
      </c>
      <c r="G364" s="449" t="s">
        <v>1971</v>
      </c>
      <c r="H364" s="101" t="s">
        <v>37</v>
      </c>
      <c r="I364" s="90">
        <v>3612.48</v>
      </c>
      <c r="J364" s="87">
        <f>5463.771/1000*1.12</f>
        <v>6.1194235199999998</v>
      </c>
      <c r="K364" s="101">
        <v>16.100000000000001</v>
      </c>
      <c r="L364" s="449">
        <v>2020</v>
      </c>
      <c r="M364" s="449" t="s">
        <v>1956</v>
      </c>
      <c r="N364" s="449" t="s">
        <v>554</v>
      </c>
      <c r="O364" s="575"/>
    </row>
    <row r="365" spans="1:15" ht="18.75" x14ac:dyDescent="0.25">
      <c r="A365" s="427"/>
      <c r="B365" s="571"/>
      <c r="C365" s="438"/>
      <c r="D365" s="121" t="s">
        <v>1019</v>
      </c>
      <c r="E365" s="490"/>
      <c r="F365" s="87">
        <f>88198/1000*1.12</f>
        <v>98.781760000000006</v>
      </c>
      <c r="G365" s="490"/>
      <c r="H365" s="101" t="s">
        <v>37</v>
      </c>
      <c r="I365" s="90">
        <f>3717.24</f>
        <v>3717.24</v>
      </c>
      <c r="J365" s="87">
        <f>5615.122/1000*1.12</f>
        <v>6.2889366400000011</v>
      </c>
      <c r="K365" s="293">
        <v>15.7</v>
      </c>
      <c r="L365" s="490"/>
      <c r="M365" s="490"/>
      <c r="N365" s="490"/>
      <c r="O365" s="575"/>
    </row>
    <row r="366" spans="1:15" ht="36" x14ac:dyDescent="0.25">
      <c r="A366" s="427"/>
      <c r="B366" s="571"/>
      <c r="C366" s="438"/>
      <c r="D366" s="188" t="s">
        <v>1020</v>
      </c>
      <c r="E366" s="490"/>
      <c r="F366" s="440">
        <f>317033.995/1000*1.12</f>
        <v>355.07807440000005</v>
      </c>
      <c r="G366" s="490"/>
      <c r="H366" s="101" t="s">
        <v>1961</v>
      </c>
      <c r="I366" s="293">
        <v>1053780</v>
      </c>
      <c r="J366" s="87">
        <f>3307.019/1000*1.12</f>
        <v>3.7038612800000004</v>
      </c>
      <c r="K366" s="576">
        <v>2</v>
      </c>
      <c r="L366" s="490"/>
      <c r="M366" s="490"/>
      <c r="N366" s="490"/>
      <c r="O366" s="575"/>
    </row>
    <row r="367" spans="1:15" ht="36" x14ac:dyDescent="0.25">
      <c r="A367" s="427"/>
      <c r="B367" s="434"/>
      <c r="C367" s="438"/>
      <c r="D367" s="188" t="s">
        <v>1021</v>
      </c>
      <c r="E367" s="433"/>
      <c r="F367" s="440"/>
      <c r="G367" s="433"/>
      <c r="H367" s="101" t="s">
        <v>1961</v>
      </c>
      <c r="I367" s="293">
        <v>212961000</v>
      </c>
      <c r="J367" s="87">
        <f>155887.726/1000*1.12</f>
        <v>174.59425311999999</v>
      </c>
      <c r="K367" s="577"/>
      <c r="L367" s="433"/>
      <c r="M367" s="433"/>
      <c r="N367" s="433"/>
      <c r="O367" s="575"/>
    </row>
    <row r="368" spans="1:15" s="6" customFormat="1" ht="19.5" x14ac:dyDescent="0.25">
      <c r="A368" s="101"/>
      <c r="B368" s="562" t="s">
        <v>555</v>
      </c>
      <c r="C368" s="564"/>
      <c r="D368" s="117"/>
      <c r="E368" s="101"/>
      <c r="F368" s="37">
        <f>SUM(F364:F367)</f>
        <v>552.64159440000003</v>
      </c>
      <c r="G368" s="101"/>
      <c r="H368" s="102"/>
      <c r="I368" s="102"/>
      <c r="J368" s="37">
        <f>SUM(J364:J367)</f>
        <v>190.70647456</v>
      </c>
      <c r="K368" s="101"/>
      <c r="L368" s="101"/>
      <c r="M368" s="101"/>
      <c r="N368" s="101"/>
    </row>
    <row r="369" spans="1:15" s="6" customFormat="1" ht="54" customHeight="1" x14ac:dyDescent="0.25">
      <c r="A369" s="101">
        <v>143</v>
      </c>
      <c r="B369" s="108" t="s">
        <v>1022</v>
      </c>
      <c r="C369" s="121" t="s">
        <v>1023</v>
      </c>
      <c r="D369" s="121" t="s">
        <v>1024</v>
      </c>
      <c r="E369" s="101" t="s">
        <v>1025</v>
      </c>
      <c r="F369" s="87">
        <f>7495/1000</f>
        <v>7.4950000000000001</v>
      </c>
      <c r="G369" s="101" t="s">
        <v>999</v>
      </c>
      <c r="H369" s="101" t="s">
        <v>1961</v>
      </c>
      <c r="I369" s="90">
        <v>50983.199999999997</v>
      </c>
      <c r="J369" s="87">
        <f>832.04/1000</f>
        <v>0.83204</v>
      </c>
      <c r="K369" s="101">
        <v>5</v>
      </c>
      <c r="L369" s="339">
        <v>2020</v>
      </c>
      <c r="M369" s="335" t="s">
        <v>1956</v>
      </c>
      <c r="N369" s="101" t="s">
        <v>554</v>
      </c>
    </row>
    <row r="370" spans="1:15" s="6" customFormat="1" ht="19.5" x14ac:dyDescent="0.25">
      <c r="A370" s="101"/>
      <c r="B370" s="562" t="s">
        <v>555</v>
      </c>
      <c r="C370" s="564"/>
      <c r="D370" s="117"/>
      <c r="E370" s="101"/>
      <c r="F370" s="37">
        <f>F369</f>
        <v>7.4950000000000001</v>
      </c>
      <c r="G370" s="101"/>
      <c r="H370" s="101"/>
      <c r="I370" s="101"/>
      <c r="J370" s="37">
        <f>J369</f>
        <v>0.83204</v>
      </c>
      <c r="K370" s="101"/>
      <c r="L370" s="101"/>
      <c r="M370" s="101"/>
      <c r="N370" s="101"/>
    </row>
    <row r="371" spans="1:15" s="6" customFormat="1" ht="54" customHeight="1" x14ac:dyDescent="0.25">
      <c r="A371" s="101">
        <v>144</v>
      </c>
      <c r="B371" s="108" t="s">
        <v>1288</v>
      </c>
      <c r="C371" s="121" t="s">
        <v>1026</v>
      </c>
      <c r="D371" s="121" t="s">
        <v>1024</v>
      </c>
      <c r="E371" s="101" t="s">
        <v>1027</v>
      </c>
      <c r="F371" s="87">
        <f>7500/1000</f>
        <v>7.5</v>
      </c>
      <c r="G371" s="101" t="s">
        <v>999</v>
      </c>
      <c r="H371" s="101" t="s">
        <v>1961</v>
      </c>
      <c r="I371" s="90">
        <v>64718.8</v>
      </c>
      <c r="J371" s="87">
        <f>1056.212/1000</f>
        <v>1.0562119999999999</v>
      </c>
      <c r="K371" s="101">
        <v>5</v>
      </c>
      <c r="L371" s="339">
        <v>2020</v>
      </c>
      <c r="M371" s="335" t="s">
        <v>1956</v>
      </c>
      <c r="N371" s="101" t="s">
        <v>554</v>
      </c>
    </row>
    <row r="372" spans="1:15" s="6" customFormat="1" ht="19.5" x14ac:dyDescent="0.25">
      <c r="A372" s="101"/>
      <c r="B372" s="562" t="s">
        <v>555</v>
      </c>
      <c r="C372" s="564"/>
      <c r="D372" s="117"/>
      <c r="E372" s="101"/>
      <c r="F372" s="37">
        <f>F371</f>
        <v>7.5</v>
      </c>
      <c r="G372" s="101"/>
      <c r="H372" s="101"/>
      <c r="I372" s="101"/>
      <c r="J372" s="37">
        <f>J371</f>
        <v>1.0562119999999999</v>
      </c>
      <c r="K372" s="101"/>
      <c r="L372" s="101"/>
      <c r="M372" s="101"/>
      <c r="N372" s="101"/>
    </row>
    <row r="373" spans="1:15" s="6" customFormat="1" ht="49.5" customHeight="1" x14ac:dyDescent="0.25">
      <c r="A373" s="449">
        <v>145</v>
      </c>
      <c r="B373" s="452" t="s">
        <v>1028</v>
      </c>
      <c r="C373" s="495" t="s">
        <v>1029</v>
      </c>
      <c r="D373" s="121" t="s">
        <v>827</v>
      </c>
      <c r="E373" s="449" t="s">
        <v>1031</v>
      </c>
      <c r="F373" s="87">
        <f>17270.1/1000</f>
        <v>17.270099999999999</v>
      </c>
      <c r="G373" s="449" t="s">
        <v>999</v>
      </c>
      <c r="H373" s="101" t="s">
        <v>1959</v>
      </c>
      <c r="I373" s="90">
        <v>16.7</v>
      </c>
      <c r="J373" s="87">
        <f>3202/1000</f>
        <v>3.202</v>
      </c>
      <c r="K373" s="101">
        <v>5.4</v>
      </c>
      <c r="L373" s="449">
        <v>2020</v>
      </c>
      <c r="M373" s="449" t="s">
        <v>863</v>
      </c>
      <c r="N373" s="449" t="s">
        <v>554</v>
      </c>
      <c r="O373" s="575"/>
    </row>
    <row r="374" spans="1:15" s="6" customFormat="1" ht="99" customHeight="1" x14ac:dyDescent="0.25">
      <c r="A374" s="433"/>
      <c r="B374" s="434"/>
      <c r="C374" s="496"/>
      <c r="D374" s="121" t="s">
        <v>1030</v>
      </c>
      <c r="E374" s="433"/>
      <c r="F374" s="87">
        <f>6072/1000</f>
        <v>6.0720000000000001</v>
      </c>
      <c r="G374" s="433"/>
      <c r="H374" s="101" t="s">
        <v>1961</v>
      </c>
      <c r="I374" s="90">
        <v>1307967</v>
      </c>
      <c r="J374" s="87">
        <f>1877.4/1000</f>
        <v>1.8774000000000002</v>
      </c>
      <c r="K374" s="101">
        <v>3.2</v>
      </c>
      <c r="L374" s="433"/>
      <c r="M374" s="433"/>
      <c r="N374" s="433"/>
      <c r="O374" s="575"/>
    </row>
    <row r="375" spans="1:15" s="6" customFormat="1" ht="19.5" x14ac:dyDescent="0.25">
      <c r="A375" s="101"/>
      <c r="B375" s="562" t="s">
        <v>555</v>
      </c>
      <c r="C375" s="564"/>
      <c r="D375" s="117"/>
      <c r="E375" s="101"/>
      <c r="F375" s="37">
        <f>SUM(F373:F374)</f>
        <v>23.342099999999999</v>
      </c>
      <c r="G375" s="101"/>
      <c r="H375" s="101"/>
      <c r="I375" s="101"/>
      <c r="J375" s="37">
        <f>J373+J374</f>
        <v>5.0793999999999997</v>
      </c>
      <c r="K375" s="101"/>
      <c r="L375" s="101"/>
      <c r="M375" s="101"/>
      <c r="N375" s="101"/>
    </row>
    <row r="376" spans="1:15" s="6" customFormat="1" ht="84" customHeight="1" x14ac:dyDescent="0.25">
      <c r="A376" s="101">
        <v>146</v>
      </c>
      <c r="B376" s="108" t="s">
        <v>1032</v>
      </c>
      <c r="C376" s="121" t="s">
        <v>1020</v>
      </c>
      <c r="D376" s="121" t="s">
        <v>1020</v>
      </c>
      <c r="E376" s="101" t="s">
        <v>1032</v>
      </c>
      <c r="F376" s="87">
        <f>7200/1000</f>
        <v>7.2</v>
      </c>
      <c r="G376" s="101" t="s">
        <v>1971</v>
      </c>
      <c r="H376" s="101" t="s">
        <v>1961</v>
      </c>
      <c r="I376" s="90">
        <v>103328</v>
      </c>
      <c r="J376" s="87">
        <f>1354/1000</f>
        <v>1.3540000000000001</v>
      </c>
      <c r="K376" s="101">
        <v>5</v>
      </c>
      <c r="L376" s="339">
        <v>2020</v>
      </c>
      <c r="M376" s="101" t="s">
        <v>862</v>
      </c>
      <c r="N376" s="101" t="s">
        <v>859</v>
      </c>
    </row>
    <row r="377" spans="1:15" s="6" customFormat="1" ht="19.5" x14ac:dyDescent="0.25">
      <c r="A377" s="101"/>
      <c r="B377" s="562" t="s">
        <v>555</v>
      </c>
      <c r="C377" s="564"/>
      <c r="D377" s="117"/>
      <c r="E377" s="101"/>
      <c r="F377" s="37">
        <f>F376</f>
        <v>7.2</v>
      </c>
      <c r="G377" s="101"/>
      <c r="H377" s="101"/>
      <c r="I377" s="101"/>
      <c r="J377" s="37">
        <f>J376</f>
        <v>1.3540000000000001</v>
      </c>
      <c r="K377" s="101"/>
      <c r="L377" s="101"/>
      <c r="M377" s="101"/>
      <c r="N377" s="101"/>
    </row>
    <row r="378" spans="1:15" s="6" customFormat="1" ht="102" customHeight="1" x14ac:dyDescent="0.25">
      <c r="A378" s="101">
        <v>147</v>
      </c>
      <c r="B378" s="108" t="s">
        <v>1033</v>
      </c>
      <c r="C378" s="121" t="s">
        <v>1034</v>
      </c>
      <c r="D378" s="121" t="s">
        <v>1034</v>
      </c>
      <c r="E378" s="101" t="s">
        <v>1008</v>
      </c>
      <c r="F378" s="87">
        <f>73876/1000</f>
        <v>73.876000000000005</v>
      </c>
      <c r="G378" s="101" t="s">
        <v>1971</v>
      </c>
      <c r="H378" s="101" t="s">
        <v>37</v>
      </c>
      <c r="I378" s="90">
        <v>36343</v>
      </c>
      <c r="J378" s="87">
        <f>101170.553/1000</f>
        <v>101.170553</v>
      </c>
      <c r="K378" s="101">
        <v>0.73</v>
      </c>
      <c r="L378" s="339">
        <v>2020</v>
      </c>
      <c r="M378" s="101" t="s">
        <v>861</v>
      </c>
      <c r="N378" s="101" t="s">
        <v>859</v>
      </c>
    </row>
    <row r="379" spans="1:15" s="6" customFormat="1" ht="22.5" customHeight="1" x14ac:dyDescent="0.25">
      <c r="A379" s="101"/>
      <c r="B379" s="562" t="s">
        <v>555</v>
      </c>
      <c r="C379" s="564"/>
      <c r="D379" s="117"/>
      <c r="E379" s="101"/>
      <c r="F379" s="37">
        <f>F378</f>
        <v>73.876000000000005</v>
      </c>
      <c r="G379" s="101"/>
      <c r="H379" s="101"/>
      <c r="I379" s="101"/>
      <c r="J379" s="37">
        <f>J378</f>
        <v>101.170553</v>
      </c>
      <c r="K379" s="101"/>
      <c r="L379" s="101"/>
      <c r="M379" s="101"/>
      <c r="N379" s="101"/>
    </row>
    <row r="380" spans="1:15" s="6" customFormat="1" ht="54.75" customHeight="1" x14ac:dyDescent="0.25">
      <c r="A380" s="101">
        <v>148</v>
      </c>
      <c r="B380" s="108" t="s">
        <v>1035</v>
      </c>
      <c r="C380" s="121" t="s">
        <v>1036</v>
      </c>
      <c r="D380" s="121" t="s">
        <v>1037</v>
      </c>
      <c r="E380" s="101" t="s">
        <v>1035</v>
      </c>
      <c r="F380" s="87">
        <f>624.41/1000</f>
        <v>0.62441000000000002</v>
      </c>
      <c r="G380" s="101" t="s">
        <v>1971</v>
      </c>
      <c r="H380" s="101" t="s">
        <v>1961</v>
      </c>
      <c r="I380" s="90">
        <v>12171</v>
      </c>
      <c r="J380" s="87">
        <f>208.136/1000</f>
        <v>0.20813599999999999</v>
      </c>
      <c r="K380" s="101">
        <v>3</v>
      </c>
      <c r="L380" s="339">
        <v>2020</v>
      </c>
      <c r="M380" s="101" t="s">
        <v>860</v>
      </c>
      <c r="N380" s="101" t="s">
        <v>554</v>
      </c>
    </row>
    <row r="381" spans="1:15" s="6" customFormat="1" ht="19.5" x14ac:dyDescent="0.25">
      <c r="A381" s="101"/>
      <c r="B381" s="562" t="s">
        <v>555</v>
      </c>
      <c r="C381" s="564"/>
      <c r="D381" s="117"/>
      <c r="E381" s="101"/>
      <c r="F381" s="37">
        <f>F380</f>
        <v>0.62441000000000002</v>
      </c>
      <c r="G381" s="101"/>
      <c r="H381" s="101"/>
      <c r="I381" s="101"/>
      <c r="J381" s="37">
        <f>J380</f>
        <v>0.20813599999999999</v>
      </c>
      <c r="K381" s="101"/>
      <c r="L381" s="101"/>
      <c r="M381" s="101"/>
      <c r="N381" s="101"/>
    </row>
    <row r="382" spans="1:15" s="6" customFormat="1" ht="99.75" customHeight="1" x14ac:dyDescent="0.25">
      <c r="A382" s="101">
        <v>149</v>
      </c>
      <c r="B382" s="108" t="s">
        <v>1038</v>
      </c>
      <c r="C382" s="121" t="s">
        <v>1039</v>
      </c>
      <c r="D382" s="121" t="s">
        <v>1040</v>
      </c>
      <c r="E382" s="101" t="s">
        <v>1041</v>
      </c>
      <c r="F382" s="87">
        <f>446015/1000</f>
        <v>446.01499999999999</v>
      </c>
      <c r="G382" s="101" t="s">
        <v>988</v>
      </c>
      <c r="H382" s="101" t="s">
        <v>1961</v>
      </c>
      <c r="I382" s="90">
        <v>2042462</v>
      </c>
      <c r="J382" s="87">
        <f>43790/1000</f>
        <v>43.79</v>
      </c>
      <c r="K382" s="101">
        <v>10</v>
      </c>
      <c r="L382" s="339">
        <v>2020</v>
      </c>
      <c r="M382" s="101" t="s">
        <v>1299</v>
      </c>
      <c r="N382" s="101" t="s">
        <v>554</v>
      </c>
    </row>
    <row r="383" spans="1:15" s="6" customFormat="1" ht="19.5" x14ac:dyDescent="0.25">
      <c r="A383" s="101"/>
      <c r="B383" s="562" t="s">
        <v>555</v>
      </c>
      <c r="C383" s="564"/>
      <c r="D383" s="117"/>
      <c r="E383" s="101"/>
      <c r="F383" s="37">
        <f>F382</f>
        <v>446.01499999999999</v>
      </c>
      <c r="G383" s="101"/>
      <c r="H383" s="101"/>
      <c r="I383" s="101"/>
      <c r="J383" s="37">
        <f>J382</f>
        <v>43.79</v>
      </c>
      <c r="K383" s="101"/>
      <c r="L383" s="101"/>
      <c r="M383" s="101"/>
      <c r="N383" s="101"/>
    </row>
    <row r="384" spans="1:15" s="25" customFormat="1" ht="22.5" customHeight="1" x14ac:dyDescent="0.25">
      <c r="A384" s="51"/>
      <c r="B384" s="572" t="s">
        <v>1042</v>
      </c>
      <c r="C384" s="573"/>
      <c r="D384" s="574"/>
      <c r="E384" s="51"/>
      <c r="F384" s="37">
        <f>F315+F317+F319+F321+F323+F325+F327+F330+F333+F335+F337+F339+F341+F343+F345+F347+F351+F349+F353+F355+F357+F359+F361+F363+F368+F370+F372+F375+F377+F379+F381+F383</f>
        <v>6943.1756043999994</v>
      </c>
      <c r="G384" s="51"/>
      <c r="H384" s="34"/>
      <c r="I384" s="34"/>
      <c r="J384" s="34">
        <f>J315+J317+J319+J321+J323+J325+J327+J330+J333+J335+J337+J339+J341+J343+J345+J347+J351+J349+J353+J355+J357+J359+J361+J363+J368+J370+J372+J375+J377+J379+J381+J383</f>
        <v>869.80381955999997</v>
      </c>
      <c r="K384" s="51"/>
      <c r="L384" s="51"/>
      <c r="M384" s="51"/>
      <c r="N384" s="51"/>
    </row>
    <row r="385" spans="1:14" ht="56.25" x14ac:dyDescent="0.25">
      <c r="A385" s="101">
        <v>150</v>
      </c>
      <c r="B385" s="108" t="s">
        <v>1090</v>
      </c>
      <c r="C385" s="121" t="s">
        <v>1098</v>
      </c>
      <c r="D385" s="121" t="s">
        <v>1024</v>
      </c>
      <c r="E385" s="325" t="s">
        <v>1084</v>
      </c>
      <c r="F385" s="87">
        <f>1804709/1000</f>
        <v>1804.7090000000001</v>
      </c>
      <c r="G385" s="101" t="s">
        <v>999</v>
      </c>
      <c r="H385" s="101" t="s">
        <v>1961</v>
      </c>
      <c r="I385" s="90">
        <v>1350579</v>
      </c>
      <c r="J385" s="87">
        <f>27713.881/1000</f>
        <v>27.713881000000001</v>
      </c>
      <c r="K385" s="101">
        <v>3</v>
      </c>
      <c r="L385" s="325">
        <v>2021</v>
      </c>
      <c r="M385" s="101" t="s">
        <v>1954</v>
      </c>
      <c r="N385" s="101" t="s">
        <v>859</v>
      </c>
    </row>
    <row r="386" spans="1:14" ht="19.5" x14ac:dyDescent="0.25">
      <c r="A386" s="101"/>
      <c r="B386" s="562" t="s">
        <v>555</v>
      </c>
      <c r="C386" s="564"/>
      <c r="D386" s="117"/>
      <c r="E386" s="101"/>
      <c r="F386" s="37">
        <f>SUM(F385:F385)</f>
        <v>1804.7090000000001</v>
      </c>
      <c r="G386" s="101"/>
      <c r="H386" s="101"/>
      <c r="I386" s="102"/>
      <c r="J386" s="37">
        <f>J385</f>
        <v>27.713881000000001</v>
      </c>
      <c r="K386" s="101"/>
      <c r="L386" s="101"/>
      <c r="M386" s="101"/>
      <c r="N386" s="101"/>
    </row>
    <row r="387" spans="1:14" ht="81.75" customHeight="1" x14ac:dyDescent="0.25">
      <c r="A387" s="325">
        <v>151</v>
      </c>
      <c r="B387" s="108" t="s">
        <v>1285</v>
      </c>
      <c r="C387" s="189" t="s">
        <v>1099</v>
      </c>
      <c r="D387" s="121" t="s">
        <v>827</v>
      </c>
      <c r="E387" s="325" t="s">
        <v>1085</v>
      </c>
      <c r="F387" s="87">
        <v>8374.7479999999996</v>
      </c>
      <c r="G387" s="325" t="s">
        <v>988</v>
      </c>
      <c r="H387" s="101" t="s">
        <v>1961</v>
      </c>
      <c r="I387" s="90">
        <v>3717000</v>
      </c>
      <c r="J387" s="87">
        <v>66.757320000000007</v>
      </c>
      <c r="K387" s="101">
        <v>5</v>
      </c>
      <c r="L387" s="325">
        <v>2021</v>
      </c>
      <c r="M387" s="325" t="s">
        <v>1106</v>
      </c>
      <c r="N387" s="101" t="s">
        <v>859</v>
      </c>
    </row>
    <row r="388" spans="1:14" ht="19.5" x14ac:dyDescent="0.25">
      <c r="A388" s="101"/>
      <c r="B388" s="562" t="s">
        <v>555</v>
      </c>
      <c r="C388" s="564"/>
      <c r="D388" s="117"/>
      <c r="E388" s="101"/>
      <c r="F388" s="37">
        <f>SUM(F387:F387)</f>
        <v>8374.7479999999996</v>
      </c>
      <c r="G388" s="101"/>
      <c r="H388" s="101"/>
      <c r="I388" s="102"/>
      <c r="J388" s="37">
        <f>J387</f>
        <v>66.757320000000007</v>
      </c>
      <c r="K388" s="101"/>
      <c r="L388" s="101"/>
      <c r="M388" s="101"/>
      <c r="N388" s="101"/>
    </row>
    <row r="389" spans="1:14" ht="72" customHeight="1" x14ac:dyDescent="0.25">
      <c r="A389" s="101">
        <v>152</v>
      </c>
      <c r="B389" s="108" t="s">
        <v>1091</v>
      </c>
      <c r="C389" s="121" t="s">
        <v>1100</v>
      </c>
      <c r="D389" s="121" t="s">
        <v>827</v>
      </c>
      <c r="E389" s="325" t="s">
        <v>1086</v>
      </c>
      <c r="F389" s="87">
        <v>113.7491</v>
      </c>
      <c r="G389" s="101" t="s">
        <v>999</v>
      </c>
      <c r="H389" s="101" t="s">
        <v>1961</v>
      </c>
      <c r="I389" s="90">
        <v>696400</v>
      </c>
      <c r="J389" s="87">
        <v>19.2624</v>
      </c>
      <c r="K389" s="101">
        <v>3.8</v>
      </c>
      <c r="L389" s="339">
        <v>2021</v>
      </c>
      <c r="M389" s="101" t="s">
        <v>1107</v>
      </c>
      <c r="N389" s="101" t="s">
        <v>554</v>
      </c>
    </row>
    <row r="390" spans="1:14" ht="19.5" x14ac:dyDescent="0.25">
      <c r="A390" s="101"/>
      <c r="B390" s="562" t="s">
        <v>555</v>
      </c>
      <c r="C390" s="564"/>
      <c r="D390" s="117"/>
      <c r="E390" s="101"/>
      <c r="F390" s="88">
        <v>113.7491</v>
      </c>
      <c r="G390" s="101"/>
      <c r="H390" s="101"/>
      <c r="I390" s="101"/>
      <c r="J390" s="37">
        <f>J389</f>
        <v>19.2624</v>
      </c>
      <c r="K390" s="101"/>
      <c r="L390" s="101"/>
      <c r="M390" s="101"/>
      <c r="N390" s="101"/>
    </row>
    <row r="391" spans="1:14" ht="25.5" customHeight="1" x14ac:dyDescent="0.25">
      <c r="A391" s="101">
        <v>153</v>
      </c>
      <c r="B391" s="108" t="s">
        <v>1092</v>
      </c>
      <c r="C391" s="121" t="s">
        <v>1101</v>
      </c>
      <c r="D391" s="121" t="s">
        <v>827</v>
      </c>
      <c r="E391" s="325" t="s">
        <v>1086</v>
      </c>
      <c r="F391" s="87">
        <v>129.47999999999999</v>
      </c>
      <c r="G391" s="101" t="s">
        <v>999</v>
      </c>
      <c r="H391" s="101" t="s">
        <v>1961</v>
      </c>
      <c r="I391" s="90">
        <v>367200</v>
      </c>
      <c r="J391" s="87">
        <v>10.1568</v>
      </c>
      <c r="K391" s="101">
        <v>8.3000000000000007</v>
      </c>
      <c r="L391" s="339">
        <v>2021</v>
      </c>
      <c r="M391" s="101" t="s">
        <v>1107</v>
      </c>
      <c r="N391" s="101" t="s">
        <v>554</v>
      </c>
    </row>
    <row r="392" spans="1:14" ht="19.5" x14ac:dyDescent="0.25">
      <c r="A392" s="101"/>
      <c r="B392" s="562" t="s">
        <v>555</v>
      </c>
      <c r="C392" s="564"/>
      <c r="D392" s="117"/>
      <c r="E392" s="101"/>
      <c r="F392" s="37">
        <f>F391</f>
        <v>129.47999999999999</v>
      </c>
      <c r="G392" s="101"/>
      <c r="H392" s="101"/>
      <c r="I392" s="101"/>
      <c r="J392" s="37">
        <f>J391</f>
        <v>10.1568</v>
      </c>
      <c r="K392" s="101"/>
      <c r="L392" s="101"/>
      <c r="M392" s="101"/>
      <c r="N392" s="101"/>
    </row>
    <row r="393" spans="1:14" ht="56.25" x14ac:dyDescent="0.25">
      <c r="A393" s="101">
        <v>154</v>
      </c>
      <c r="B393" s="108" t="s">
        <v>1093</v>
      </c>
      <c r="C393" s="121" t="s">
        <v>1102</v>
      </c>
      <c r="D393" s="121" t="s">
        <v>827</v>
      </c>
      <c r="E393" s="325" t="s">
        <v>1087</v>
      </c>
      <c r="F393" s="87">
        <v>4.3042999999999996</v>
      </c>
      <c r="G393" s="101" t="s">
        <v>999</v>
      </c>
      <c r="H393" s="101" t="s">
        <v>1961</v>
      </c>
      <c r="I393" s="90">
        <v>55800</v>
      </c>
      <c r="J393" s="87">
        <v>0.87860000000000005</v>
      </c>
      <c r="K393" s="101">
        <v>4.9000000000000004</v>
      </c>
      <c r="L393" s="325">
        <v>2021</v>
      </c>
      <c r="M393" s="293" t="s">
        <v>864</v>
      </c>
      <c r="N393" s="101" t="s">
        <v>554</v>
      </c>
    </row>
    <row r="394" spans="1:14" ht="19.5" x14ac:dyDescent="0.25">
      <c r="A394" s="101"/>
      <c r="B394" s="562" t="s">
        <v>555</v>
      </c>
      <c r="C394" s="564"/>
      <c r="D394" s="117"/>
      <c r="E394" s="101"/>
      <c r="F394" s="37">
        <f>SUM(F393:F393)</f>
        <v>4.3042999999999996</v>
      </c>
      <c r="G394" s="101"/>
      <c r="H394" s="101"/>
      <c r="I394" s="101"/>
      <c r="J394" s="37">
        <f>J393</f>
        <v>0.87860000000000005</v>
      </c>
      <c r="K394" s="101"/>
      <c r="L394" s="101"/>
      <c r="M394" s="101"/>
      <c r="N394" s="101"/>
    </row>
    <row r="395" spans="1:14" ht="30" customHeight="1" x14ac:dyDescent="0.25">
      <c r="A395" s="101">
        <v>155</v>
      </c>
      <c r="B395" s="108" t="s">
        <v>1094</v>
      </c>
      <c r="C395" s="121" t="s">
        <v>1103</v>
      </c>
      <c r="D395" s="121" t="s">
        <v>827</v>
      </c>
      <c r="E395" s="325" t="s">
        <v>1088</v>
      </c>
      <c r="F395" s="87">
        <v>49.051000000000002</v>
      </c>
      <c r="G395" s="101" t="s">
        <v>999</v>
      </c>
      <c r="H395" s="101" t="s">
        <v>1961</v>
      </c>
      <c r="I395" s="90">
        <v>76173</v>
      </c>
      <c r="J395" s="87">
        <v>2.6538680000000001</v>
      </c>
      <c r="K395" s="101">
        <v>18.399999999999999</v>
      </c>
      <c r="L395" s="339">
        <v>2021</v>
      </c>
      <c r="M395" s="101" t="s">
        <v>1954</v>
      </c>
      <c r="N395" s="101" t="s">
        <v>554</v>
      </c>
    </row>
    <row r="396" spans="1:14" ht="19.5" x14ac:dyDescent="0.25">
      <c r="A396" s="101"/>
      <c r="B396" s="562" t="s">
        <v>555</v>
      </c>
      <c r="C396" s="564"/>
      <c r="D396" s="117"/>
      <c r="E396" s="101"/>
      <c r="F396" s="37">
        <f>F395</f>
        <v>49.051000000000002</v>
      </c>
      <c r="G396" s="101"/>
      <c r="H396" s="101"/>
      <c r="I396" s="101"/>
      <c r="J396" s="37">
        <f>J395</f>
        <v>2.6538680000000001</v>
      </c>
      <c r="K396" s="101"/>
      <c r="L396" s="101"/>
      <c r="M396" s="101"/>
      <c r="N396" s="101"/>
    </row>
    <row r="397" spans="1:14" ht="67.5" customHeight="1" x14ac:dyDescent="0.25">
      <c r="A397" s="101">
        <v>156</v>
      </c>
      <c r="B397" s="108" t="s">
        <v>1095</v>
      </c>
      <c r="C397" s="121" t="s">
        <v>1104</v>
      </c>
      <c r="D397" s="121" t="s">
        <v>827</v>
      </c>
      <c r="E397" s="325" t="s">
        <v>1087</v>
      </c>
      <c r="F397" s="87">
        <v>27.896999999999998</v>
      </c>
      <c r="G397" s="101" t="s">
        <v>999</v>
      </c>
      <c r="H397" s="101" t="s">
        <v>1961</v>
      </c>
      <c r="I397" s="90">
        <v>128400</v>
      </c>
      <c r="J397" s="87">
        <v>3.3325</v>
      </c>
      <c r="K397" s="101">
        <v>8.4</v>
      </c>
      <c r="L397" s="339">
        <v>2021</v>
      </c>
      <c r="M397" s="101" t="s">
        <v>861</v>
      </c>
      <c r="N397" s="101" t="s">
        <v>554</v>
      </c>
    </row>
    <row r="398" spans="1:14" ht="19.5" x14ac:dyDescent="0.25">
      <c r="A398" s="101"/>
      <c r="B398" s="562" t="s">
        <v>555</v>
      </c>
      <c r="C398" s="564"/>
      <c r="D398" s="117"/>
      <c r="E398" s="101"/>
      <c r="F398" s="37">
        <f>F397</f>
        <v>27.896999999999998</v>
      </c>
      <c r="G398" s="101"/>
      <c r="H398" s="101"/>
      <c r="I398" s="101"/>
      <c r="J398" s="37">
        <f>J397</f>
        <v>3.3325</v>
      </c>
      <c r="K398" s="101"/>
      <c r="L398" s="101"/>
      <c r="M398" s="101"/>
      <c r="N398" s="101"/>
    </row>
    <row r="399" spans="1:14" ht="82.5" customHeight="1" x14ac:dyDescent="0.25">
      <c r="A399" s="101">
        <v>157</v>
      </c>
      <c r="B399" s="108" t="s">
        <v>1097</v>
      </c>
      <c r="C399" s="121" t="s">
        <v>1105</v>
      </c>
      <c r="D399" s="121" t="s">
        <v>827</v>
      </c>
      <c r="E399" s="101" t="s">
        <v>1089</v>
      </c>
      <c r="F399" s="87">
        <v>10588.367</v>
      </c>
      <c r="G399" s="101" t="s">
        <v>988</v>
      </c>
      <c r="H399" s="101" t="s">
        <v>1961</v>
      </c>
      <c r="I399" s="90">
        <v>1207920</v>
      </c>
      <c r="J399" s="87">
        <v>35.635109999999997</v>
      </c>
      <c r="K399" s="101">
        <v>5</v>
      </c>
      <c r="L399" s="339">
        <v>2021</v>
      </c>
      <c r="M399" s="101" t="s">
        <v>218</v>
      </c>
      <c r="N399" s="101" t="s">
        <v>859</v>
      </c>
    </row>
    <row r="400" spans="1:14" ht="19.5" x14ac:dyDescent="0.25">
      <c r="A400" s="101"/>
      <c r="B400" s="562" t="s">
        <v>555</v>
      </c>
      <c r="C400" s="564"/>
      <c r="D400" s="117"/>
      <c r="E400" s="101"/>
      <c r="F400" s="37">
        <f>F399</f>
        <v>10588.367</v>
      </c>
      <c r="G400" s="101"/>
      <c r="H400" s="101"/>
      <c r="I400" s="101"/>
      <c r="J400" s="37">
        <f>J399</f>
        <v>35.635109999999997</v>
      </c>
      <c r="K400" s="101"/>
      <c r="L400" s="101"/>
      <c r="M400" s="101"/>
      <c r="N400" s="101"/>
    </row>
    <row r="401" spans="1:14" ht="56.25" customHeight="1" x14ac:dyDescent="0.25">
      <c r="A401" s="405">
        <v>158</v>
      </c>
      <c r="B401" s="307" t="s">
        <v>1143</v>
      </c>
      <c r="C401" s="308" t="s">
        <v>996</v>
      </c>
      <c r="D401" s="309" t="s">
        <v>827</v>
      </c>
      <c r="E401" s="101" t="s">
        <v>1988</v>
      </c>
      <c r="F401" s="87">
        <v>975.10699999999997</v>
      </c>
      <c r="G401" s="101" t="s">
        <v>428</v>
      </c>
      <c r="H401" s="101" t="s">
        <v>1961</v>
      </c>
      <c r="I401" s="90">
        <v>44163358</v>
      </c>
      <c r="J401" s="87">
        <v>366.02589999999998</v>
      </c>
      <c r="K401" s="101">
        <v>3.2</v>
      </c>
      <c r="L401" s="101">
        <v>2021</v>
      </c>
      <c r="M401" s="293" t="s">
        <v>864</v>
      </c>
      <c r="N401" s="101" t="s">
        <v>554</v>
      </c>
    </row>
    <row r="402" spans="1:14" ht="15.75" customHeight="1" x14ac:dyDescent="0.25">
      <c r="A402" s="101"/>
      <c r="B402" s="562" t="s">
        <v>555</v>
      </c>
      <c r="C402" s="564"/>
      <c r="D402" s="117"/>
      <c r="E402" s="101"/>
      <c r="F402" s="37">
        <f>F401</f>
        <v>975.10699999999997</v>
      </c>
      <c r="G402" s="101"/>
      <c r="H402" s="101"/>
      <c r="I402" s="101"/>
      <c r="J402" s="37">
        <f>J401</f>
        <v>366.02589999999998</v>
      </c>
      <c r="K402" s="101"/>
      <c r="L402" s="101"/>
      <c r="M402" s="101"/>
      <c r="N402" s="101"/>
    </row>
    <row r="403" spans="1:14" ht="38.25" customHeight="1" x14ac:dyDescent="0.25">
      <c r="A403" s="101">
        <v>159</v>
      </c>
      <c r="B403" s="108" t="s">
        <v>1271</v>
      </c>
      <c r="C403" s="121" t="s">
        <v>1211</v>
      </c>
      <c r="D403" s="121" t="s">
        <v>1212</v>
      </c>
      <c r="E403" s="113" t="s">
        <v>1213</v>
      </c>
      <c r="F403" s="87">
        <v>216.7208</v>
      </c>
      <c r="G403" s="101" t="s">
        <v>428</v>
      </c>
      <c r="H403" s="101" t="s">
        <v>1961</v>
      </c>
      <c r="I403" s="90">
        <v>2542325</v>
      </c>
      <c r="J403" s="87">
        <v>39.177230000000002</v>
      </c>
      <c r="K403" s="101">
        <v>5</v>
      </c>
      <c r="L403" s="339">
        <v>2021</v>
      </c>
      <c r="M403" s="101" t="s">
        <v>1144</v>
      </c>
      <c r="N403" s="101" t="s">
        <v>554</v>
      </c>
    </row>
    <row r="404" spans="1:14" ht="15.75" customHeight="1" x14ac:dyDescent="0.25">
      <c r="A404" s="101"/>
      <c r="B404" s="562" t="s">
        <v>555</v>
      </c>
      <c r="C404" s="564"/>
      <c r="D404" s="121"/>
      <c r="E404" s="113"/>
      <c r="F404" s="88">
        <v>216.7208</v>
      </c>
      <c r="G404" s="101"/>
      <c r="H404" s="101"/>
      <c r="I404" s="90"/>
      <c r="J404" s="37">
        <f>J403</f>
        <v>39.177230000000002</v>
      </c>
      <c r="K404" s="101"/>
      <c r="L404" s="339"/>
      <c r="M404" s="101"/>
      <c r="N404" s="101"/>
    </row>
    <row r="405" spans="1:14" ht="96" customHeight="1" x14ac:dyDescent="0.25">
      <c r="A405" s="101">
        <v>160</v>
      </c>
      <c r="B405" s="103" t="s">
        <v>1272</v>
      </c>
      <c r="C405" s="120" t="s">
        <v>1214</v>
      </c>
      <c r="D405" s="121" t="s">
        <v>1215</v>
      </c>
      <c r="E405" s="113" t="s">
        <v>1216</v>
      </c>
      <c r="F405" s="87">
        <v>28.38</v>
      </c>
      <c r="G405" s="87" t="s">
        <v>1217</v>
      </c>
      <c r="H405" s="87" t="s">
        <v>1959</v>
      </c>
      <c r="I405" s="87">
        <v>314</v>
      </c>
      <c r="J405" s="87">
        <v>4.8440000000000003</v>
      </c>
      <c r="K405" s="101">
        <v>5.8</v>
      </c>
      <c r="L405" s="339">
        <v>2021</v>
      </c>
      <c r="M405" s="101" t="s">
        <v>1834</v>
      </c>
      <c r="N405" s="101" t="s">
        <v>859</v>
      </c>
    </row>
    <row r="406" spans="1:14" ht="15.75" customHeight="1" x14ac:dyDescent="0.25">
      <c r="A406" s="101"/>
      <c r="B406" s="562" t="s">
        <v>555</v>
      </c>
      <c r="C406" s="564"/>
      <c r="D406" s="121"/>
      <c r="E406" s="113"/>
      <c r="F406" s="88">
        <v>28.38</v>
      </c>
      <c r="G406" s="87"/>
      <c r="H406" s="87"/>
      <c r="I406" s="87"/>
      <c r="J406" s="37">
        <f>J405</f>
        <v>4.8440000000000003</v>
      </c>
      <c r="K406" s="101"/>
      <c r="L406" s="339"/>
      <c r="M406" s="101"/>
      <c r="N406" s="101"/>
    </row>
    <row r="407" spans="1:14" ht="84.75" customHeight="1" x14ac:dyDescent="0.25">
      <c r="A407" s="101">
        <v>161</v>
      </c>
      <c r="B407" s="111" t="s">
        <v>1218</v>
      </c>
      <c r="C407" s="191" t="s">
        <v>1219</v>
      </c>
      <c r="D407" s="191" t="s">
        <v>1219</v>
      </c>
      <c r="E407" s="101" t="s">
        <v>1220</v>
      </c>
      <c r="F407" s="89">
        <v>163.26249999999999</v>
      </c>
      <c r="G407" s="101" t="s">
        <v>999</v>
      </c>
      <c r="H407" s="101" t="s">
        <v>1961</v>
      </c>
      <c r="I407" s="87">
        <v>1417295</v>
      </c>
      <c r="J407" s="87">
        <v>12.07535</v>
      </c>
      <c r="K407" s="101">
        <v>13.5</v>
      </c>
      <c r="L407" s="339">
        <v>2021</v>
      </c>
      <c r="M407" s="101" t="s">
        <v>861</v>
      </c>
      <c r="N407" s="101" t="s">
        <v>554</v>
      </c>
    </row>
    <row r="408" spans="1:14" ht="15.75" customHeight="1" x14ac:dyDescent="0.25">
      <c r="A408" s="101"/>
      <c r="B408" s="562" t="s">
        <v>555</v>
      </c>
      <c r="C408" s="564"/>
      <c r="D408" s="191"/>
      <c r="E408" s="101"/>
      <c r="F408" s="92">
        <v>163.26249999999999</v>
      </c>
      <c r="G408" s="101"/>
      <c r="H408" s="101"/>
      <c r="I408" s="87"/>
      <c r="J408" s="88">
        <f>J407</f>
        <v>12.07535</v>
      </c>
      <c r="K408" s="101"/>
      <c r="L408" s="339"/>
      <c r="M408" s="101"/>
      <c r="N408" s="101"/>
    </row>
    <row r="409" spans="1:14" ht="85.5" customHeight="1" x14ac:dyDescent="0.25">
      <c r="A409" s="101">
        <v>162</v>
      </c>
      <c r="B409" s="111" t="s">
        <v>1221</v>
      </c>
      <c r="C409" s="192" t="s">
        <v>1222</v>
      </c>
      <c r="D409" s="191" t="s">
        <v>1222</v>
      </c>
      <c r="E409" s="101" t="s">
        <v>1220</v>
      </c>
      <c r="F409" s="89">
        <v>5.7350000000000003</v>
      </c>
      <c r="G409" s="101" t="s">
        <v>999</v>
      </c>
      <c r="H409" s="101" t="s">
        <v>1961</v>
      </c>
      <c r="I409" s="90">
        <v>58499</v>
      </c>
      <c r="J409" s="87">
        <v>0.84519999999999995</v>
      </c>
      <c r="K409" s="101">
        <v>6.7</v>
      </c>
      <c r="L409" s="339">
        <v>2021</v>
      </c>
      <c r="M409" s="101" t="s">
        <v>1955</v>
      </c>
      <c r="N409" s="101" t="s">
        <v>554</v>
      </c>
    </row>
    <row r="410" spans="1:14" ht="15.75" customHeight="1" x14ac:dyDescent="0.25">
      <c r="A410" s="101"/>
      <c r="B410" s="562" t="s">
        <v>555</v>
      </c>
      <c r="C410" s="564"/>
      <c r="D410" s="117"/>
      <c r="E410" s="101"/>
      <c r="F410" s="92">
        <v>5.7350000000000003</v>
      </c>
      <c r="G410" s="101"/>
      <c r="H410" s="101"/>
      <c r="I410" s="101"/>
      <c r="J410" s="37">
        <f>J409</f>
        <v>0.84519999999999995</v>
      </c>
      <c r="K410" s="101"/>
      <c r="L410" s="101"/>
      <c r="M410" s="101"/>
      <c r="N410" s="101"/>
    </row>
    <row r="411" spans="1:14" ht="68.25" customHeight="1" x14ac:dyDescent="0.25">
      <c r="A411" s="101">
        <v>163</v>
      </c>
      <c r="B411" s="111" t="s">
        <v>1223</v>
      </c>
      <c r="C411" s="191" t="s">
        <v>1224</v>
      </c>
      <c r="D411" s="191" t="s">
        <v>1225</v>
      </c>
      <c r="E411" s="101" t="s">
        <v>1226</v>
      </c>
      <c r="F411" s="89">
        <v>66.322500000000005</v>
      </c>
      <c r="G411" s="101" t="s">
        <v>999</v>
      </c>
      <c r="H411" s="101" t="s">
        <v>1961</v>
      </c>
      <c r="I411" s="408">
        <v>863627</v>
      </c>
      <c r="J411" s="84">
        <v>12.27214</v>
      </c>
      <c r="K411" s="101">
        <v>5.4</v>
      </c>
      <c r="L411" s="101">
        <v>2021</v>
      </c>
      <c r="M411" s="101" t="s">
        <v>862</v>
      </c>
      <c r="N411" s="101" t="s">
        <v>554</v>
      </c>
    </row>
    <row r="412" spans="1:14" ht="15.75" customHeight="1" x14ac:dyDescent="0.25">
      <c r="A412" s="101"/>
      <c r="B412" s="562" t="s">
        <v>555</v>
      </c>
      <c r="C412" s="564"/>
      <c r="D412" s="117"/>
      <c r="E412" s="101"/>
      <c r="F412" s="92">
        <v>66.322500000000005</v>
      </c>
      <c r="G412" s="101"/>
      <c r="H412" s="101"/>
      <c r="I412" s="101"/>
      <c r="J412" s="94">
        <f>J411</f>
        <v>12.27214</v>
      </c>
      <c r="K412" s="101"/>
      <c r="L412" s="101"/>
      <c r="M412" s="101"/>
      <c r="N412" s="101"/>
    </row>
    <row r="413" spans="1:14" ht="83.25" customHeight="1" x14ac:dyDescent="0.25">
      <c r="A413" s="101">
        <v>164</v>
      </c>
      <c r="B413" s="111" t="s">
        <v>1227</v>
      </c>
      <c r="C413" s="191" t="s">
        <v>1228</v>
      </c>
      <c r="D413" s="191" t="s">
        <v>1228</v>
      </c>
      <c r="E413" s="101" t="s">
        <v>1229</v>
      </c>
      <c r="F413" s="102">
        <v>80.706249999999997</v>
      </c>
      <c r="G413" s="101" t="s">
        <v>999</v>
      </c>
      <c r="H413" s="101" t="s">
        <v>1961</v>
      </c>
      <c r="I413" s="90">
        <v>678700</v>
      </c>
      <c r="J413" s="102">
        <v>10.0787</v>
      </c>
      <c r="K413" s="101">
        <v>8</v>
      </c>
      <c r="L413" s="101">
        <v>2021</v>
      </c>
      <c r="M413" s="293" t="s">
        <v>864</v>
      </c>
      <c r="N413" s="101" t="s">
        <v>554</v>
      </c>
    </row>
    <row r="414" spans="1:14" ht="15.75" customHeight="1" x14ac:dyDescent="0.25">
      <c r="A414" s="101"/>
      <c r="B414" s="562" t="s">
        <v>555</v>
      </c>
      <c r="C414" s="563"/>
      <c r="D414" s="563"/>
      <c r="E414" s="564"/>
      <c r="F414" s="37">
        <v>80.706249999999997</v>
      </c>
      <c r="G414" s="101"/>
      <c r="H414" s="101"/>
      <c r="I414" s="101"/>
      <c r="J414" s="37">
        <f>J413</f>
        <v>10.0787</v>
      </c>
      <c r="K414" s="101"/>
      <c r="L414" s="101"/>
      <c r="M414" s="101"/>
      <c r="N414" s="101"/>
    </row>
    <row r="415" spans="1:14" ht="85.5" customHeight="1" x14ac:dyDescent="0.25">
      <c r="A415" s="405">
        <v>165</v>
      </c>
      <c r="B415" s="310" t="s">
        <v>1273</v>
      </c>
      <c r="C415" s="311" t="s">
        <v>1230</v>
      </c>
      <c r="D415" s="311" t="s">
        <v>1230</v>
      </c>
      <c r="E415" s="101" t="s">
        <v>1989</v>
      </c>
      <c r="F415" s="102">
        <v>67.247500000000002</v>
      </c>
      <c r="G415" s="101" t="s">
        <v>999</v>
      </c>
      <c r="H415" s="101" t="s">
        <v>1961</v>
      </c>
      <c r="I415" s="90">
        <v>685942</v>
      </c>
      <c r="J415" s="102">
        <v>12.628209999999999</v>
      </c>
      <c r="K415" s="101">
        <v>5.3</v>
      </c>
      <c r="L415" s="101">
        <v>2021</v>
      </c>
      <c r="M415" s="101" t="s">
        <v>861</v>
      </c>
      <c r="N415" s="101" t="s">
        <v>554</v>
      </c>
    </row>
    <row r="416" spans="1:14" ht="15.75" customHeight="1" x14ac:dyDescent="0.25">
      <c r="A416" s="101"/>
      <c r="B416" s="562" t="s">
        <v>555</v>
      </c>
      <c r="C416" s="563"/>
      <c r="D416" s="563"/>
      <c r="E416" s="564"/>
      <c r="F416" s="37">
        <v>67.247500000000002</v>
      </c>
      <c r="G416" s="101"/>
      <c r="H416" s="101"/>
      <c r="I416" s="101"/>
      <c r="J416" s="37">
        <f>J415</f>
        <v>12.628209999999999</v>
      </c>
      <c r="K416" s="101"/>
      <c r="L416" s="101"/>
      <c r="M416" s="101"/>
      <c r="N416" s="101"/>
    </row>
    <row r="417" spans="1:14" ht="22.5" customHeight="1" x14ac:dyDescent="0.25">
      <c r="A417" s="449">
        <v>166</v>
      </c>
      <c r="B417" s="445" t="s">
        <v>1231</v>
      </c>
      <c r="C417" s="454" t="s">
        <v>1232</v>
      </c>
      <c r="D417" s="495" t="s">
        <v>1233</v>
      </c>
      <c r="E417" s="421" t="s">
        <v>1234</v>
      </c>
      <c r="F417" s="95">
        <f>15478/1000</f>
        <v>15.478</v>
      </c>
      <c r="G417" s="449" t="s">
        <v>1217</v>
      </c>
      <c r="H417" s="449" t="s">
        <v>1961</v>
      </c>
      <c r="I417" s="409">
        <v>149180</v>
      </c>
      <c r="J417" s="95">
        <v>2.6560000000000001</v>
      </c>
      <c r="K417" s="95">
        <v>5.8</v>
      </c>
      <c r="L417" s="449">
        <v>2019</v>
      </c>
      <c r="M417" s="421" t="s">
        <v>860</v>
      </c>
      <c r="N417" s="449" t="s">
        <v>554</v>
      </c>
    </row>
    <row r="418" spans="1:14" ht="21.75" customHeight="1" x14ac:dyDescent="0.25">
      <c r="A418" s="490"/>
      <c r="B418" s="559"/>
      <c r="C418" s="512"/>
      <c r="D418" s="496"/>
      <c r="E418" s="423"/>
      <c r="F418" s="95">
        <v>1.548</v>
      </c>
      <c r="G418" s="490"/>
      <c r="H418" s="490"/>
      <c r="I418" s="409">
        <v>21940</v>
      </c>
      <c r="J418" s="95">
        <v>0.39</v>
      </c>
      <c r="K418" s="95">
        <v>4</v>
      </c>
      <c r="L418" s="490"/>
      <c r="M418" s="423"/>
      <c r="N418" s="490"/>
    </row>
    <row r="419" spans="1:14" ht="38.25" customHeight="1" x14ac:dyDescent="0.25">
      <c r="A419" s="490"/>
      <c r="B419" s="559"/>
      <c r="C419" s="512"/>
      <c r="D419" s="121" t="s">
        <v>1235</v>
      </c>
      <c r="E419" s="423"/>
      <c r="F419" s="95">
        <v>7.79725</v>
      </c>
      <c r="G419" s="490"/>
      <c r="H419" s="490"/>
      <c r="I419" s="409">
        <v>152400</v>
      </c>
      <c r="J419" s="95">
        <v>2.7</v>
      </c>
      <c r="K419" s="95">
        <v>2.9</v>
      </c>
      <c r="L419" s="490"/>
      <c r="M419" s="423"/>
      <c r="N419" s="490"/>
    </row>
    <row r="420" spans="1:14" ht="42" customHeight="1" x14ac:dyDescent="0.25">
      <c r="A420" s="490"/>
      <c r="B420" s="559"/>
      <c r="C420" s="512"/>
      <c r="D420" s="121" t="s">
        <v>1236</v>
      </c>
      <c r="E420" s="423"/>
      <c r="F420" s="96">
        <v>13.9338</v>
      </c>
      <c r="G420" s="490"/>
      <c r="H420" s="490"/>
      <c r="I420" s="409">
        <v>129380</v>
      </c>
      <c r="J420" s="95">
        <v>2.2999999999999998</v>
      </c>
      <c r="K420" s="95">
        <v>6</v>
      </c>
      <c r="L420" s="490"/>
      <c r="M420" s="423"/>
      <c r="N420" s="490"/>
    </row>
    <row r="421" spans="1:14" ht="45.75" customHeight="1" x14ac:dyDescent="0.25">
      <c r="A421" s="490"/>
      <c r="B421" s="559"/>
      <c r="C421" s="512"/>
      <c r="D421" s="121" t="s">
        <v>1237</v>
      </c>
      <c r="E421" s="423"/>
      <c r="F421" s="95">
        <v>13.9338</v>
      </c>
      <c r="G421" s="490"/>
      <c r="H421" s="490"/>
      <c r="I421" s="409">
        <v>129380</v>
      </c>
      <c r="J421" s="95">
        <v>2.2999999999999998</v>
      </c>
      <c r="K421" s="95">
        <v>6</v>
      </c>
      <c r="L421" s="490"/>
      <c r="M421" s="423"/>
      <c r="N421" s="490"/>
    </row>
    <row r="422" spans="1:14" ht="40.5" customHeight="1" x14ac:dyDescent="0.25">
      <c r="A422" s="490"/>
      <c r="B422" s="559"/>
      <c r="C422" s="512"/>
      <c r="D422" s="121" t="s">
        <v>1238</v>
      </c>
      <c r="E422" s="423"/>
      <c r="F422" s="95">
        <v>30.345500000000001</v>
      </c>
      <c r="G422" s="490"/>
      <c r="H422" s="490"/>
      <c r="I422" s="409">
        <v>281280</v>
      </c>
      <c r="J422" s="95">
        <v>5</v>
      </c>
      <c r="K422" s="95">
        <v>6</v>
      </c>
      <c r="L422" s="490"/>
      <c r="M422" s="423"/>
      <c r="N422" s="490"/>
    </row>
    <row r="423" spans="1:14" ht="38.25" customHeight="1" x14ac:dyDescent="0.25">
      <c r="A423" s="490"/>
      <c r="B423" s="559"/>
      <c r="C423" s="512"/>
      <c r="D423" s="121" t="s">
        <v>1239</v>
      </c>
      <c r="E423" s="423"/>
      <c r="F423" s="95">
        <v>2.9262999999999999</v>
      </c>
      <c r="G423" s="490"/>
      <c r="H423" s="490"/>
      <c r="I423" s="409">
        <v>39850</v>
      </c>
      <c r="J423" s="95">
        <v>0.70899999999999996</v>
      </c>
      <c r="K423" s="95">
        <v>4.0999999999999996</v>
      </c>
      <c r="L423" s="490"/>
      <c r="M423" s="423"/>
      <c r="N423" s="490"/>
    </row>
    <row r="424" spans="1:14" ht="49.5" customHeight="1" x14ac:dyDescent="0.25">
      <c r="A424" s="433"/>
      <c r="B424" s="446"/>
      <c r="C424" s="455"/>
      <c r="D424" s="121" t="s">
        <v>1240</v>
      </c>
      <c r="E424" s="422"/>
      <c r="F424" s="95">
        <v>3.9956</v>
      </c>
      <c r="G424" s="433"/>
      <c r="H424" s="433"/>
      <c r="I424" s="409">
        <v>68150</v>
      </c>
      <c r="J424" s="95">
        <v>1.2130000000000001</v>
      </c>
      <c r="K424" s="95">
        <v>3.3</v>
      </c>
      <c r="L424" s="433"/>
      <c r="M424" s="422"/>
      <c r="N424" s="433"/>
    </row>
    <row r="425" spans="1:14" ht="15.75" customHeight="1" x14ac:dyDescent="0.25">
      <c r="A425" s="101"/>
      <c r="B425" s="562" t="s">
        <v>555</v>
      </c>
      <c r="C425" s="563"/>
      <c r="D425" s="563"/>
      <c r="E425" s="564"/>
      <c r="F425" s="37">
        <v>89.958250000000007</v>
      </c>
      <c r="G425" s="101"/>
      <c r="H425" s="101"/>
      <c r="I425" s="101"/>
      <c r="J425" s="37">
        <f>SUM(J417:J424)</f>
        <v>17.268000000000001</v>
      </c>
      <c r="K425" s="101"/>
      <c r="L425" s="101"/>
      <c r="M425" s="101"/>
      <c r="N425" s="101"/>
    </row>
    <row r="426" spans="1:14" ht="40.5" customHeight="1" x14ac:dyDescent="0.25">
      <c r="A426" s="101">
        <v>167</v>
      </c>
      <c r="B426" s="108" t="s">
        <v>1241</v>
      </c>
      <c r="C426" s="191" t="s">
        <v>1286</v>
      </c>
      <c r="D426" s="191" t="s">
        <v>1286</v>
      </c>
      <c r="E426" s="101" t="s">
        <v>1242</v>
      </c>
      <c r="F426" s="102">
        <v>200</v>
      </c>
      <c r="G426" s="101" t="s">
        <v>428</v>
      </c>
      <c r="H426" s="101" t="s">
        <v>37</v>
      </c>
      <c r="I426" s="101">
        <v>604.03</v>
      </c>
      <c r="J426" s="84">
        <v>6.2270000000000003</v>
      </c>
      <c r="K426" s="101">
        <v>27.1</v>
      </c>
      <c r="L426" s="101">
        <v>2021</v>
      </c>
      <c r="M426" s="293" t="s">
        <v>864</v>
      </c>
      <c r="N426" s="101" t="s">
        <v>554</v>
      </c>
    </row>
    <row r="427" spans="1:14" ht="15.75" customHeight="1" x14ac:dyDescent="0.25">
      <c r="A427" s="101"/>
      <c r="B427" s="562" t="s">
        <v>555</v>
      </c>
      <c r="C427" s="563"/>
      <c r="D427" s="563"/>
      <c r="E427" s="564"/>
      <c r="F427" s="37">
        <v>200</v>
      </c>
      <c r="G427" s="101"/>
      <c r="H427" s="101"/>
      <c r="I427" s="101"/>
      <c r="J427" s="94">
        <f>J426</f>
        <v>6.2270000000000003</v>
      </c>
      <c r="K427" s="101"/>
      <c r="L427" s="101"/>
      <c r="M427" s="101"/>
      <c r="N427" s="101"/>
    </row>
    <row r="428" spans="1:14" ht="43.5" customHeight="1" x14ac:dyDescent="0.25">
      <c r="A428" s="101">
        <v>168</v>
      </c>
      <c r="B428" s="108" t="s">
        <v>1243</v>
      </c>
      <c r="C428" s="117" t="s">
        <v>1244</v>
      </c>
      <c r="D428" s="117" t="s">
        <v>1245</v>
      </c>
      <c r="E428" s="101" t="s">
        <v>1243</v>
      </c>
      <c r="F428" s="102">
        <v>17.467934</v>
      </c>
      <c r="G428" s="101" t="s">
        <v>428</v>
      </c>
      <c r="H428" s="101" t="s">
        <v>37</v>
      </c>
      <c r="I428" s="101">
        <v>394.53</v>
      </c>
      <c r="J428" s="102">
        <v>4.5570000000000004</v>
      </c>
      <c r="K428" s="101">
        <v>3.8</v>
      </c>
      <c r="L428" s="101">
        <v>2021</v>
      </c>
      <c r="M428" s="335" t="s">
        <v>1956</v>
      </c>
      <c r="N428" s="101" t="s">
        <v>554</v>
      </c>
    </row>
    <row r="429" spans="1:14" ht="15.75" customHeight="1" x14ac:dyDescent="0.25">
      <c r="A429" s="101"/>
      <c r="B429" s="562" t="s">
        <v>555</v>
      </c>
      <c r="C429" s="563"/>
      <c r="D429" s="563"/>
      <c r="E429" s="564"/>
      <c r="F429" s="37">
        <v>17.467934</v>
      </c>
      <c r="G429" s="101"/>
      <c r="H429" s="101"/>
      <c r="I429" s="101"/>
      <c r="J429" s="37">
        <f>J428</f>
        <v>4.5570000000000004</v>
      </c>
      <c r="K429" s="101"/>
      <c r="L429" s="101"/>
      <c r="M429" s="101"/>
      <c r="N429" s="101"/>
    </row>
    <row r="430" spans="1:14" ht="45.75" customHeight="1" x14ac:dyDescent="0.25">
      <c r="A430" s="101">
        <v>169</v>
      </c>
      <c r="B430" s="108" t="s">
        <v>1243</v>
      </c>
      <c r="C430" s="176" t="s">
        <v>1284</v>
      </c>
      <c r="D430" s="121" t="s">
        <v>1245</v>
      </c>
      <c r="E430" s="193" t="s">
        <v>1243</v>
      </c>
      <c r="F430" s="102">
        <v>6.07178928</v>
      </c>
      <c r="G430" s="101" t="s">
        <v>1049</v>
      </c>
      <c r="H430" s="101" t="s">
        <v>37</v>
      </c>
      <c r="I430" s="101">
        <v>514.29</v>
      </c>
      <c r="J430" s="102">
        <v>0.70250000000000001</v>
      </c>
      <c r="K430" s="101">
        <v>3.5</v>
      </c>
      <c r="L430" s="101">
        <v>2021</v>
      </c>
      <c r="M430" s="101" t="s">
        <v>1208</v>
      </c>
      <c r="N430" s="101" t="s">
        <v>554</v>
      </c>
    </row>
    <row r="431" spans="1:14" ht="15.75" customHeight="1" x14ac:dyDescent="0.25">
      <c r="A431" s="101"/>
      <c r="B431" s="562" t="s">
        <v>555</v>
      </c>
      <c r="C431" s="563"/>
      <c r="D431" s="563"/>
      <c r="E431" s="564"/>
      <c r="F431" s="37">
        <v>6.07178928</v>
      </c>
      <c r="G431" s="101"/>
      <c r="H431" s="101"/>
      <c r="I431" s="101"/>
      <c r="J431" s="37">
        <f>J430</f>
        <v>0.70250000000000001</v>
      </c>
      <c r="K431" s="101"/>
      <c r="L431" s="101"/>
      <c r="M431" s="101"/>
      <c r="N431" s="101"/>
    </row>
    <row r="432" spans="1:14" ht="36" customHeight="1" x14ac:dyDescent="0.25">
      <c r="A432" s="101">
        <v>170</v>
      </c>
      <c r="B432" s="108" t="s">
        <v>1246</v>
      </c>
      <c r="C432" s="191" t="s">
        <v>1247</v>
      </c>
      <c r="D432" s="176" t="s">
        <v>1248</v>
      </c>
      <c r="E432" s="82" t="s">
        <v>1249</v>
      </c>
      <c r="F432" s="102">
        <v>5.88</v>
      </c>
      <c r="G432" s="101" t="s">
        <v>1217</v>
      </c>
      <c r="H432" s="101" t="s">
        <v>1961</v>
      </c>
      <c r="I432" s="101">
        <v>76300</v>
      </c>
      <c r="J432" s="102">
        <v>1.859</v>
      </c>
      <c r="K432" s="101">
        <v>3.1</v>
      </c>
      <c r="L432" s="101">
        <v>2021</v>
      </c>
      <c r="M432" s="101" t="s">
        <v>1153</v>
      </c>
      <c r="N432" s="101" t="s">
        <v>554</v>
      </c>
    </row>
    <row r="433" spans="1:14" ht="15.75" customHeight="1" x14ac:dyDescent="0.25">
      <c r="A433" s="101"/>
      <c r="B433" s="562" t="s">
        <v>555</v>
      </c>
      <c r="C433" s="563"/>
      <c r="D433" s="563"/>
      <c r="E433" s="564"/>
      <c r="F433" s="37">
        <v>5.88</v>
      </c>
      <c r="G433" s="101"/>
      <c r="H433" s="101"/>
      <c r="I433" s="101"/>
      <c r="J433" s="37">
        <f>J432</f>
        <v>1.859</v>
      </c>
      <c r="K433" s="101"/>
      <c r="L433" s="101"/>
      <c r="M433" s="101"/>
      <c r="N433" s="101"/>
    </row>
    <row r="434" spans="1:14" ht="54" customHeight="1" x14ac:dyDescent="0.25">
      <c r="A434" s="449">
        <v>171</v>
      </c>
      <c r="B434" s="452" t="s">
        <v>1250</v>
      </c>
      <c r="C434" s="454" t="s">
        <v>1251</v>
      </c>
      <c r="D434" s="121" t="s">
        <v>1274</v>
      </c>
      <c r="E434" s="449" t="s">
        <v>1250</v>
      </c>
      <c r="F434" s="102">
        <v>83.048000000000002</v>
      </c>
      <c r="G434" s="449" t="s">
        <v>1217</v>
      </c>
      <c r="H434" s="449" t="s">
        <v>1961</v>
      </c>
      <c r="I434" s="89">
        <v>2041.934</v>
      </c>
      <c r="J434" s="102">
        <v>38.85801</v>
      </c>
      <c r="K434" s="101">
        <v>2.2000000000000002</v>
      </c>
      <c r="L434" s="449">
        <v>2021</v>
      </c>
      <c r="M434" s="449" t="s">
        <v>862</v>
      </c>
      <c r="N434" s="449" t="s">
        <v>859</v>
      </c>
    </row>
    <row r="435" spans="1:14" ht="21.75" customHeight="1" x14ac:dyDescent="0.25">
      <c r="A435" s="490"/>
      <c r="B435" s="571"/>
      <c r="C435" s="512"/>
      <c r="D435" s="121" t="s">
        <v>1252</v>
      </c>
      <c r="E435" s="490"/>
      <c r="F435" s="102">
        <v>14.669</v>
      </c>
      <c r="G435" s="490"/>
      <c r="H435" s="490"/>
      <c r="I435" s="89">
        <v>3990.8159999999998</v>
      </c>
      <c r="J435" s="102">
        <v>75.945229999999995</v>
      </c>
      <c r="K435" s="101">
        <v>0.2</v>
      </c>
      <c r="L435" s="490"/>
      <c r="M435" s="490"/>
      <c r="N435" s="490"/>
    </row>
    <row r="436" spans="1:14" ht="69.75" customHeight="1" x14ac:dyDescent="0.25">
      <c r="A436" s="433"/>
      <c r="B436" s="434"/>
      <c r="C436" s="455"/>
      <c r="D436" s="121" t="s">
        <v>1253</v>
      </c>
      <c r="E436" s="433"/>
      <c r="F436" s="102">
        <v>586.39200000000005</v>
      </c>
      <c r="G436" s="433"/>
      <c r="H436" s="433"/>
      <c r="I436" s="89">
        <v>1927</v>
      </c>
      <c r="J436" s="102">
        <v>36.6708</v>
      </c>
      <c r="K436" s="101">
        <v>16</v>
      </c>
      <c r="L436" s="433"/>
      <c r="M436" s="433"/>
      <c r="N436" s="433"/>
    </row>
    <row r="437" spans="1:14" ht="15.75" customHeight="1" x14ac:dyDescent="0.25">
      <c r="A437" s="101"/>
      <c r="B437" s="562" t="s">
        <v>555</v>
      </c>
      <c r="C437" s="563"/>
      <c r="D437" s="563"/>
      <c r="E437" s="564"/>
      <c r="F437" s="37">
        <f>F434+F435+F436</f>
        <v>684.10900000000004</v>
      </c>
      <c r="G437" s="101"/>
      <c r="H437" s="101"/>
      <c r="I437" s="101"/>
      <c r="J437" s="37">
        <f>SUM(J434:J436)</f>
        <v>151.47404</v>
      </c>
      <c r="K437" s="101"/>
      <c r="L437" s="101"/>
      <c r="M437" s="101"/>
      <c r="N437" s="101"/>
    </row>
    <row r="438" spans="1:14" ht="30" customHeight="1" x14ac:dyDescent="0.25">
      <c r="A438" s="449">
        <v>172</v>
      </c>
      <c r="B438" s="452" t="s">
        <v>1254</v>
      </c>
      <c r="C438" s="569" t="s">
        <v>1255</v>
      </c>
      <c r="D438" s="454" t="s">
        <v>1256</v>
      </c>
      <c r="E438" s="449" t="s">
        <v>1254</v>
      </c>
      <c r="F438" s="102">
        <v>10.222</v>
      </c>
      <c r="G438" s="449" t="s">
        <v>428</v>
      </c>
      <c r="H438" s="101" t="s">
        <v>1961</v>
      </c>
      <c r="I438" s="90">
        <v>15138</v>
      </c>
      <c r="J438" s="102">
        <v>0.33729999999999999</v>
      </c>
      <c r="K438" s="427">
        <v>41.2</v>
      </c>
      <c r="L438" s="449">
        <v>2021</v>
      </c>
      <c r="M438" s="449" t="s">
        <v>866</v>
      </c>
      <c r="N438" s="449" t="s">
        <v>554</v>
      </c>
    </row>
    <row r="439" spans="1:14" ht="21.75" customHeight="1" x14ac:dyDescent="0.25">
      <c r="A439" s="433"/>
      <c r="B439" s="434"/>
      <c r="C439" s="570"/>
      <c r="D439" s="455"/>
      <c r="E439" s="433"/>
      <c r="F439" s="102">
        <v>19.777999999999999</v>
      </c>
      <c r="G439" s="433"/>
      <c r="H439" s="101" t="s">
        <v>37</v>
      </c>
      <c r="I439" s="101">
        <v>16.68</v>
      </c>
      <c r="J439" s="102">
        <v>0.3911</v>
      </c>
      <c r="K439" s="427"/>
      <c r="L439" s="433"/>
      <c r="M439" s="433"/>
      <c r="N439" s="433"/>
    </row>
    <row r="440" spans="1:14" ht="15.75" customHeight="1" x14ac:dyDescent="0.25">
      <c r="A440" s="101"/>
      <c r="B440" s="562" t="s">
        <v>555</v>
      </c>
      <c r="C440" s="563"/>
      <c r="D440" s="563"/>
      <c r="E440" s="564"/>
      <c r="F440" s="37">
        <v>30</v>
      </c>
      <c r="G440" s="101"/>
      <c r="H440" s="101"/>
      <c r="I440" s="101"/>
      <c r="J440" s="37">
        <f>J438+J439</f>
        <v>0.72839999999999994</v>
      </c>
      <c r="K440" s="101"/>
      <c r="L440" s="101"/>
      <c r="M440" s="101"/>
      <c r="N440" s="101"/>
    </row>
    <row r="441" spans="1:14" ht="25.5" customHeight="1" x14ac:dyDescent="0.25">
      <c r="A441" s="449">
        <v>173</v>
      </c>
      <c r="B441" s="452" t="s">
        <v>1254</v>
      </c>
      <c r="C441" s="569" t="s">
        <v>1255</v>
      </c>
      <c r="D441" s="454" t="s">
        <v>1256</v>
      </c>
      <c r="E441" s="449" t="s">
        <v>1254</v>
      </c>
      <c r="F441" s="102">
        <v>3.3</v>
      </c>
      <c r="G441" s="449" t="s">
        <v>428</v>
      </c>
      <c r="H441" s="101" t="s">
        <v>1961</v>
      </c>
      <c r="I441" s="90">
        <v>2469</v>
      </c>
      <c r="J441" s="102">
        <v>0.55000000000000004</v>
      </c>
      <c r="K441" s="427">
        <v>58</v>
      </c>
      <c r="L441" s="449">
        <v>2021</v>
      </c>
      <c r="M441" s="449" t="s">
        <v>866</v>
      </c>
      <c r="N441" s="449" t="s">
        <v>554</v>
      </c>
    </row>
    <row r="442" spans="1:14" ht="30" customHeight="1" x14ac:dyDescent="0.25">
      <c r="A442" s="433"/>
      <c r="B442" s="434"/>
      <c r="C442" s="570"/>
      <c r="D442" s="455"/>
      <c r="E442" s="433"/>
      <c r="F442" s="102">
        <v>14.7</v>
      </c>
      <c r="G442" s="433"/>
      <c r="H442" s="101" t="s">
        <v>37</v>
      </c>
      <c r="I442" s="101">
        <v>10.81</v>
      </c>
      <c r="J442" s="102">
        <v>0.255</v>
      </c>
      <c r="K442" s="427"/>
      <c r="L442" s="433"/>
      <c r="M442" s="433"/>
      <c r="N442" s="433"/>
    </row>
    <row r="443" spans="1:14" ht="15.75" customHeight="1" x14ac:dyDescent="0.25">
      <c r="A443" s="101"/>
      <c r="B443" s="562" t="s">
        <v>555</v>
      </c>
      <c r="C443" s="563"/>
      <c r="D443" s="563"/>
      <c r="E443" s="564"/>
      <c r="F443" s="37">
        <f>18000/1000</f>
        <v>18</v>
      </c>
      <c r="G443" s="101"/>
      <c r="H443" s="101"/>
      <c r="I443" s="101"/>
      <c r="J443" s="37">
        <f>J441+J442</f>
        <v>0.80500000000000005</v>
      </c>
      <c r="K443" s="101"/>
      <c r="L443" s="101"/>
      <c r="M443" s="101"/>
      <c r="N443" s="101"/>
    </row>
    <row r="444" spans="1:14" ht="78" customHeight="1" x14ac:dyDescent="0.25">
      <c r="A444" s="101">
        <v>174</v>
      </c>
      <c r="B444" s="108" t="s">
        <v>1257</v>
      </c>
      <c r="C444" s="191" t="s">
        <v>1258</v>
      </c>
      <c r="D444" s="117" t="s">
        <v>1259</v>
      </c>
      <c r="E444" s="101" t="s">
        <v>1260</v>
      </c>
      <c r="F444" s="102">
        <f>5310000/1000</f>
        <v>5310</v>
      </c>
      <c r="G444" s="101" t="s">
        <v>1261</v>
      </c>
      <c r="H444" s="101" t="s">
        <v>1961</v>
      </c>
      <c r="I444" s="90">
        <v>2498344</v>
      </c>
      <c r="J444" s="102">
        <f>36196/1000</f>
        <v>36.195999999999998</v>
      </c>
      <c r="K444" s="101">
        <v>10</v>
      </c>
      <c r="L444" s="101">
        <v>2020</v>
      </c>
      <c r="M444" s="293" t="s">
        <v>1955</v>
      </c>
      <c r="N444" s="101" t="s">
        <v>859</v>
      </c>
    </row>
    <row r="445" spans="1:14" ht="15.75" customHeight="1" x14ac:dyDescent="0.25">
      <c r="A445" s="101"/>
      <c r="B445" s="562" t="s">
        <v>555</v>
      </c>
      <c r="C445" s="563"/>
      <c r="D445" s="563"/>
      <c r="E445" s="564"/>
      <c r="F445" s="37">
        <f>F444</f>
        <v>5310</v>
      </c>
      <c r="G445" s="101"/>
      <c r="H445" s="101"/>
      <c r="I445" s="101"/>
      <c r="J445" s="37">
        <f>J444</f>
        <v>36.195999999999998</v>
      </c>
      <c r="K445" s="101"/>
      <c r="L445" s="101"/>
      <c r="M445" s="101"/>
      <c r="N445" s="101"/>
    </row>
    <row r="446" spans="1:14" ht="57" customHeight="1" x14ac:dyDescent="0.25">
      <c r="A446" s="101">
        <v>175</v>
      </c>
      <c r="B446" s="108" t="s">
        <v>1262</v>
      </c>
      <c r="C446" s="117" t="s">
        <v>1263</v>
      </c>
      <c r="D446" s="117" t="s">
        <v>1264</v>
      </c>
      <c r="E446" s="101" t="s">
        <v>1262</v>
      </c>
      <c r="F446" s="102">
        <v>33.75</v>
      </c>
      <c r="G446" s="101" t="s">
        <v>1217</v>
      </c>
      <c r="H446" s="101" t="s">
        <v>1961</v>
      </c>
      <c r="I446" s="90">
        <v>766500</v>
      </c>
      <c r="J446" s="102">
        <v>18.396000000000001</v>
      </c>
      <c r="K446" s="101">
        <v>1.8</v>
      </c>
      <c r="L446" s="101">
        <v>2021</v>
      </c>
      <c r="M446" s="101" t="s">
        <v>1144</v>
      </c>
      <c r="N446" s="101" t="s">
        <v>554</v>
      </c>
    </row>
    <row r="447" spans="1:14" ht="15.75" customHeight="1" x14ac:dyDescent="0.25">
      <c r="A447" s="101"/>
      <c r="B447" s="562" t="s">
        <v>555</v>
      </c>
      <c r="C447" s="563"/>
      <c r="D447" s="563"/>
      <c r="E447" s="564"/>
      <c r="F447" s="37">
        <v>33.75</v>
      </c>
      <c r="G447" s="101"/>
      <c r="H447" s="101"/>
      <c r="I447" s="101"/>
      <c r="J447" s="37">
        <f>J446</f>
        <v>18.396000000000001</v>
      </c>
      <c r="K447" s="101"/>
      <c r="L447" s="101"/>
      <c r="M447" s="101"/>
      <c r="N447" s="101"/>
    </row>
    <row r="448" spans="1:14" ht="54.75" customHeight="1" x14ac:dyDescent="0.25">
      <c r="A448" s="101">
        <v>176</v>
      </c>
      <c r="B448" s="108" t="s">
        <v>1265</v>
      </c>
      <c r="C448" s="117" t="s">
        <v>1281</v>
      </c>
      <c r="D448" s="117" t="s">
        <v>1281</v>
      </c>
      <c r="E448" s="101" t="s">
        <v>1265</v>
      </c>
      <c r="F448" s="102">
        <v>62.25</v>
      </c>
      <c r="G448" s="101" t="s">
        <v>1217</v>
      </c>
      <c r="H448" s="101" t="s">
        <v>1961</v>
      </c>
      <c r="I448" s="90">
        <v>893520</v>
      </c>
      <c r="J448" s="102">
        <f>21444.48/1000</f>
        <v>21.444479999999999</v>
      </c>
      <c r="K448" s="101">
        <v>2.9</v>
      </c>
      <c r="L448" s="101">
        <v>2021</v>
      </c>
      <c r="M448" s="101" t="s">
        <v>1834</v>
      </c>
      <c r="N448" s="101" t="s">
        <v>554</v>
      </c>
    </row>
    <row r="449" spans="1:14" ht="15.75" customHeight="1" x14ac:dyDescent="0.25">
      <c r="A449" s="101"/>
      <c r="B449" s="562" t="s">
        <v>555</v>
      </c>
      <c r="C449" s="563"/>
      <c r="D449" s="563"/>
      <c r="E449" s="564"/>
      <c r="F449" s="37">
        <v>62.25</v>
      </c>
      <c r="G449" s="101"/>
      <c r="H449" s="101"/>
      <c r="I449" s="101"/>
      <c r="J449" s="37">
        <f>J448</f>
        <v>21.444479999999999</v>
      </c>
      <c r="K449" s="101"/>
      <c r="L449" s="101"/>
      <c r="M449" s="101"/>
      <c r="N449" s="101"/>
    </row>
    <row r="450" spans="1:14" ht="56.25" customHeight="1" x14ac:dyDescent="0.25">
      <c r="A450" s="101">
        <v>177</v>
      </c>
      <c r="B450" s="108" t="s">
        <v>1265</v>
      </c>
      <c r="C450" s="117" t="s">
        <v>1282</v>
      </c>
      <c r="D450" s="117" t="s">
        <v>1282</v>
      </c>
      <c r="E450" s="101" t="s">
        <v>1265</v>
      </c>
      <c r="F450" s="102">
        <v>72.625</v>
      </c>
      <c r="G450" s="101" t="s">
        <v>1217</v>
      </c>
      <c r="H450" s="101" t="s">
        <v>1961</v>
      </c>
      <c r="I450" s="90">
        <v>1042440</v>
      </c>
      <c r="J450" s="102">
        <v>25.018999999999998</v>
      </c>
      <c r="K450" s="101">
        <v>2.9</v>
      </c>
      <c r="L450" s="101">
        <v>2021</v>
      </c>
      <c r="M450" s="101" t="s">
        <v>1834</v>
      </c>
      <c r="N450" s="101" t="s">
        <v>554</v>
      </c>
    </row>
    <row r="451" spans="1:14" ht="15.75" customHeight="1" x14ac:dyDescent="0.25">
      <c r="A451" s="101"/>
      <c r="B451" s="562" t="s">
        <v>555</v>
      </c>
      <c r="C451" s="563"/>
      <c r="D451" s="563"/>
      <c r="E451" s="564"/>
      <c r="F451" s="37">
        <v>72.625</v>
      </c>
      <c r="G451" s="101"/>
      <c r="H451" s="101"/>
      <c r="I451" s="101"/>
      <c r="J451" s="37">
        <f>J450</f>
        <v>25.018999999999998</v>
      </c>
      <c r="K451" s="101"/>
      <c r="L451" s="101"/>
      <c r="M451" s="101"/>
      <c r="N451" s="101"/>
    </row>
    <row r="452" spans="1:14" ht="69.75" customHeight="1" x14ac:dyDescent="0.25">
      <c r="A452" s="101">
        <v>178</v>
      </c>
      <c r="B452" s="101" t="s">
        <v>1512</v>
      </c>
      <c r="C452" s="117" t="s">
        <v>1283</v>
      </c>
      <c r="D452" s="117" t="s">
        <v>1283</v>
      </c>
      <c r="E452" s="101" t="s">
        <v>1512</v>
      </c>
      <c r="F452" s="102">
        <f>1360/1000</f>
        <v>1.36</v>
      </c>
      <c r="G452" s="101" t="s">
        <v>1217</v>
      </c>
      <c r="H452" s="101" t="s">
        <v>1961</v>
      </c>
      <c r="I452" s="90">
        <v>23827</v>
      </c>
      <c r="J452" s="102">
        <v>0.57199999999999995</v>
      </c>
      <c r="K452" s="101">
        <v>2.2999999999999998</v>
      </c>
      <c r="L452" s="101">
        <v>2021</v>
      </c>
      <c r="M452" s="101" t="s">
        <v>1144</v>
      </c>
      <c r="N452" s="101" t="s">
        <v>554</v>
      </c>
    </row>
    <row r="453" spans="1:14" ht="15.75" customHeight="1" x14ac:dyDescent="0.25">
      <c r="A453" s="194"/>
      <c r="B453" s="562" t="s">
        <v>555</v>
      </c>
      <c r="C453" s="563"/>
      <c r="D453" s="563"/>
      <c r="E453" s="564"/>
      <c r="F453" s="37">
        <f>1360/1000</f>
        <v>1.36</v>
      </c>
      <c r="G453" s="194"/>
      <c r="H453" s="194"/>
      <c r="I453" s="194"/>
      <c r="J453" s="37">
        <f>J452</f>
        <v>0.57199999999999995</v>
      </c>
      <c r="K453" s="194"/>
      <c r="L453" s="194"/>
      <c r="M453" s="128"/>
      <c r="N453" s="128"/>
    </row>
    <row r="454" spans="1:14" ht="69.75" customHeight="1" x14ac:dyDescent="0.25">
      <c r="A454" s="101">
        <v>179</v>
      </c>
      <c r="B454" s="108" t="s">
        <v>1266</v>
      </c>
      <c r="C454" s="117" t="s">
        <v>1267</v>
      </c>
      <c r="D454" s="117" t="s">
        <v>1268</v>
      </c>
      <c r="E454" s="101" t="s">
        <v>1266</v>
      </c>
      <c r="F454" s="102">
        <v>28.148</v>
      </c>
      <c r="G454" s="101" t="s">
        <v>1217</v>
      </c>
      <c r="H454" s="101" t="s">
        <v>1961</v>
      </c>
      <c r="I454" s="90">
        <v>804168</v>
      </c>
      <c r="J454" s="102">
        <v>19.3</v>
      </c>
      <c r="K454" s="101">
        <v>1.5</v>
      </c>
      <c r="L454" s="101">
        <v>2021</v>
      </c>
      <c r="M454" s="101" t="s">
        <v>1278</v>
      </c>
      <c r="N454" s="101" t="s">
        <v>554</v>
      </c>
    </row>
    <row r="455" spans="1:14" ht="15.75" customHeight="1" x14ac:dyDescent="0.25">
      <c r="A455" s="194"/>
      <c r="B455" s="562" t="s">
        <v>555</v>
      </c>
      <c r="C455" s="563"/>
      <c r="D455" s="563"/>
      <c r="E455" s="564"/>
      <c r="F455" s="37">
        <f>28147.56/1000</f>
        <v>28.147560000000002</v>
      </c>
      <c r="G455" s="194"/>
      <c r="H455" s="194"/>
      <c r="I455" s="194"/>
      <c r="J455" s="37">
        <f>J454</f>
        <v>19.3</v>
      </c>
      <c r="K455" s="194"/>
      <c r="L455" s="194"/>
      <c r="M455" s="128"/>
      <c r="N455" s="128"/>
    </row>
    <row r="456" spans="1:14" ht="52.5" customHeight="1" x14ac:dyDescent="0.25">
      <c r="A456" s="101">
        <v>180</v>
      </c>
      <c r="B456" s="108" t="s">
        <v>1269</v>
      </c>
      <c r="C456" s="117" t="s">
        <v>1275</v>
      </c>
      <c r="D456" s="117" t="s">
        <v>1270</v>
      </c>
      <c r="E456" s="101" t="s">
        <v>1269</v>
      </c>
      <c r="F456" s="102">
        <v>3.28</v>
      </c>
      <c r="G456" s="101" t="s">
        <v>1217</v>
      </c>
      <c r="H456" s="101" t="s">
        <v>1961</v>
      </c>
      <c r="I456" s="90">
        <v>17520</v>
      </c>
      <c r="J456" s="102">
        <v>0.42</v>
      </c>
      <c r="K456" s="101">
        <v>7.8</v>
      </c>
      <c r="L456" s="101">
        <v>2021</v>
      </c>
      <c r="M456" s="101" t="s">
        <v>1144</v>
      </c>
      <c r="N456" s="101" t="s">
        <v>554</v>
      </c>
    </row>
    <row r="457" spans="1:14" ht="25.5" customHeight="1" x14ac:dyDescent="0.25">
      <c r="A457" s="101"/>
      <c r="B457" s="562" t="s">
        <v>555</v>
      </c>
      <c r="C457" s="563"/>
      <c r="D457" s="563"/>
      <c r="E457" s="564"/>
      <c r="F457" s="37">
        <f>3280/1000</f>
        <v>3.28</v>
      </c>
      <c r="G457" s="101"/>
      <c r="H457" s="101"/>
      <c r="I457" s="101"/>
      <c r="J457" s="37">
        <f>J456</f>
        <v>0.42</v>
      </c>
      <c r="K457" s="101"/>
      <c r="L457" s="101"/>
      <c r="M457" s="101"/>
      <c r="N457" s="101"/>
    </row>
    <row r="458" spans="1:14" ht="54" customHeight="1" x14ac:dyDescent="0.25">
      <c r="A458" s="101">
        <v>181</v>
      </c>
      <c r="B458" s="108" t="s">
        <v>1276</v>
      </c>
      <c r="C458" s="117" t="s">
        <v>1277</v>
      </c>
      <c r="D458" s="117" t="s">
        <v>1287</v>
      </c>
      <c r="E458" s="101" t="s">
        <v>1276</v>
      </c>
      <c r="F458" s="102">
        <v>10</v>
      </c>
      <c r="G458" s="101" t="s">
        <v>1217</v>
      </c>
      <c r="H458" s="101" t="s">
        <v>1961</v>
      </c>
      <c r="I458" s="90">
        <v>119136</v>
      </c>
      <c r="J458" s="102">
        <v>2.859</v>
      </c>
      <c r="K458" s="101">
        <v>3.5</v>
      </c>
      <c r="L458" s="101">
        <v>2021</v>
      </c>
      <c r="M458" s="101" t="s">
        <v>1144</v>
      </c>
      <c r="N458" s="101" t="s">
        <v>554</v>
      </c>
    </row>
    <row r="459" spans="1:14" ht="15.75" customHeight="1" x14ac:dyDescent="0.25">
      <c r="A459" s="101"/>
      <c r="B459" s="562" t="s">
        <v>555</v>
      </c>
      <c r="C459" s="563"/>
      <c r="D459" s="563"/>
      <c r="E459" s="564"/>
      <c r="F459" s="37">
        <v>10</v>
      </c>
      <c r="G459" s="101"/>
      <c r="H459" s="101"/>
      <c r="I459" s="101"/>
      <c r="J459" s="37">
        <f>J458</f>
        <v>2.859</v>
      </c>
      <c r="K459" s="101"/>
      <c r="L459" s="101"/>
      <c r="M459" s="101"/>
      <c r="N459" s="101"/>
    </row>
    <row r="460" spans="1:14" ht="15.75" customHeight="1" x14ac:dyDescent="0.25">
      <c r="A460" s="53"/>
      <c r="B460" s="572" t="s">
        <v>1083</v>
      </c>
      <c r="C460" s="573"/>
      <c r="D460" s="574"/>
      <c r="E460" s="51"/>
      <c r="F460" s="34">
        <f>F386+F388+F390+F392+F394+F396+F398+F400+F402+F404+F406+F408+F410+F412+F414+F416+F425+F427+F429+F431+F433+F437+F440+F443+F445+F447+F449+F451+F453+F455+F457+F459</f>
        <v>29268.686483279998</v>
      </c>
      <c r="G460" s="51"/>
      <c r="H460" s="34"/>
      <c r="I460" s="34"/>
      <c r="J460" s="34">
        <f>J386+J388+J390+J392+J394+J396+J398+J400+J402+J404+J406+J408+J410+J412+J414+J416+J425+J427+J429+J431+J433+J437+J440+J443+J445+J447+J449+J451+J453+J455+J457+J459</f>
        <v>932.16462899999988</v>
      </c>
      <c r="K460" s="53"/>
      <c r="L460" s="53"/>
      <c r="M460" s="53"/>
      <c r="N460" s="53"/>
    </row>
    <row r="461" spans="1:14" ht="195" customHeight="1" x14ac:dyDescent="0.25">
      <c r="A461" s="101">
        <v>182</v>
      </c>
      <c r="B461" s="103" t="s">
        <v>1391</v>
      </c>
      <c r="C461" s="103" t="s">
        <v>1392</v>
      </c>
      <c r="D461" s="103" t="s">
        <v>1393</v>
      </c>
      <c r="E461" s="194" t="s">
        <v>1511</v>
      </c>
      <c r="F461" s="125">
        <v>53.843000000000004</v>
      </c>
      <c r="G461" s="101" t="s">
        <v>1217</v>
      </c>
      <c r="H461" s="101" t="s">
        <v>1961</v>
      </c>
      <c r="I461" s="126">
        <v>129333.026</v>
      </c>
      <c r="J461" s="127">
        <v>3.7174999999999998</v>
      </c>
      <c r="K461" s="128">
        <v>14</v>
      </c>
      <c r="L461" s="128">
        <v>2022</v>
      </c>
      <c r="M461" s="293" t="s">
        <v>864</v>
      </c>
      <c r="N461" s="128" t="s">
        <v>859</v>
      </c>
    </row>
    <row r="462" spans="1:14" ht="19.5" x14ac:dyDescent="0.25">
      <c r="A462" s="194"/>
      <c r="B462" s="562" t="s">
        <v>555</v>
      </c>
      <c r="C462" s="563"/>
      <c r="D462" s="563"/>
      <c r="E462" s="564"/>
      <c r="F462" s="129">
        <v>53.843000000000004</v>
      </c>
      <c r="G462" s="194"/>
      <c r="H462" s="194"/>
      <c r="I462" s="194"/>
      <c r="J462" s="130">
        <v>3.7174999999999998</v>
      </c>
      <c r="K462" s="194"/>
      <c r="L462" s="128"/>
      <c r="M462" s="128"/>
      <c r="N462" s="128"/>
    </row>
    <row r="463" spans="1:14" ht="99" customHeight="1" x14ac:dyDescent="0.25">
      <c r="A463" s="101">
        <v>183</v>
      </c>
      <c r="B463" s="118" t="s">
        <v>1394</v>
      </c>
      <c r="C463" s="118" t="s">
        <v>1395</v>
      </c>
      <c r="D463" s="108" t="s">
        <v>1396</v>
      </c>
      <c r="E463" s="131" t="s">
        <v>1394</v>
      </c>
      <c r="F463" s="125">
        <v>89.789000000000001</v>
      </c>
      <c r="G463" s="101" t="s">
        <v>1217</v>
      </c>
      <c r="H463" s="101" t="s">
        <v>1961</v>
      </c>
      <c r="I463" s="93">
        <v>155000</v>
      </c>
      <c r="J463" s="127">
        <v>8.6753499999999999</v>
      </c>
      <c r="K463" s="128">
        <v>10</v>
      </c>
      <c r="L463" s="128">
        <v>2022</v>
      </c>
      <c r="M463" s="293" t="s">
        <v>864</v>
      </c>
      <c r="N463" s="128" t="s">
        <v>859</v>
      </c>
    </row>
    <row r="464" spans="1:14" ht="19.5" customHeight="1" x14ac:dyDescent="0.25">
      <c r="A464" s="194"/>
      <c r="B464" s="562" t="s">
        <v>555</v>
      </c>
      <c r="C464" s="563"/>
      <c r="D464" s="563"/>
      <c r="E464" s="564"/>
      <c r="F464" s="129">
        <v>89.789000000000001</v>
      </c>
      <c r="G464" s="194"/>
      <c r="H464" s="194"/>
      <c r="I464" s="194"/>
      <c r="J464" s="130">
        <v>8.6753499999999999</v>
      </c>
      <c r="K464" s="194"/>
      <c r="L464" s="194"/>
      <c r="M464" s="194"/>
      <c r="N464" s="194"/>
    </row>
    <row r="465" spans="1:14" ht="43.5" customHeight="1" x14ac:dyDescent="0.25">
      <c r="A465" s="101">
        <v>184</v>
      </c>
      <c r="B465" s="118" t="s">
        <v>1398</v>
      </c>
      <c r="C465" s="118" t="s">
        <v>1397</v>
      </c>
      <c r="D465" s="108" t="s">
        <v>1400</v>
      </c>
      <c r="E465" s="128" t="s">
        <v>1408</v>
      </c>
      <c r="F465" s="125">
        <f>1164.4/1000</f>
        <v>1.1644000000000001</v>
      </c>
      <c r="G465" s="101" t="s">
        <v>428</v>
      </c>
      <c r="H465" s="101" t="s">
        <v>37</v>
      </c>
      <c r="I465" s="132">
        <v>37.360999999999997</v>
      </c>
      <c r="J465" s="125">
        <f>515.9/1000</f>
        <v>0.51590000000000003</v>
      </c>
      <c r="K465" s="128">
        <v>2.1</v>
      </c>
      <c r="L465" s="128">
        <v>2022</v>
      </c>
      <c r="M465" s="293" t="s">
        <v>864</v>
      </c>
      <c r="N465" s="128" t="s">
        <v>859</v>
      </c>
    </row>
    <row r="466" spans="1:14" ht="20.25" customHeight="1" x14ac:dyDescent="0.25">
      <c r="A466" s="194"/>
      <c r="B466" s="562" t="s">
        <v>555</v>
      </c>
      <c r="C466" s="563"/>
      <c r="D466" s="563"/>
      <c r="E466" s="564"/>
      <c r="F466" s="129">
        <v>1.2</v>
      </c>
      <c r="G466" s="194"/>
      <c r="H466" s="194"/>
      <c r="I466" s="194"/>
      <c r="J466" s="129">
        <v>0.5</v>
      </c>
      <c r="K466" s="194"/>
      <c r="L466" s="194"/>
      <c r="M466" s="194"/>
      <c r="N466" s="194"/>
    </row>
    <row r="467" spans="1:14" ht="42.75" customHeight="1" x14ac:dyDescent="0.25">
      <c r="A467" s="101">
        <v>185</v>
      </c>
      <c r="B467" s="118" t="s">
        <v>1399</v>
      </c>
      <c r="C467" s="118" t="s">
        <v>1401</v>
      </c>
      <c r="D467" s="108" t="s">
        <v>1404</v>
      </c>
      <c r="E467" s="128" t="s">
        <v>1409</v>
      </c>
      <c r="F467" s="125">
        <f>5717/1000</f>
        <v>5.7169999999999996</v>
      </c>
      <c r="G467" s="101" t="s">
        <v>428</v>
      </c>
      <c r="H467" s="101" t="s">
        <v>1961</v>
      </c>
      <c r="I467" s="93">
        <v>145360</v>
      </c>
      <c r="J467" s="125">
        <v>2.5</v>
      </c>
      <c r="K467" s="128">
        <v>2.2999999999999998</v>
      </c>
      <c r="L467" s="128">
        <v>2022</v>
      </c>
      <c r="M467" s="128" t="s">
        <v>1299</v>
      </c>
      <c r="N467" s="101" t="s">
        <v>554</v>
      </c>
    </row>
    <row r="468" spans="1:14" ht="21" customHeight="1" x14ac:dyDescent="0.25">
      <c r="A468" s="194"/>
      <c r="B468" s="562" t="s">
        <v>555</v>
      </c>
      <c r="C468" s="563"/>
      <c r="D468" s="563"/>
      <c r="E468" s="564"/>
      <c r="F468" s="129">
        <v>5.7</v>
      </c>
      <c r="G468" s="194"/>
      <c r="H468" s="194"/>
      <c r="I468" s="194"/>
      <c r="J468" s="129">
        <v>2.5</v>
      </c>
      <c r="K468" s="194"/>
      <c r="L468" s="194"/>
      <c r="M468" s="194"/>
      <c r="N468" s="194"/>
    </row>
    <row r="469" spans="1:14" ht="37.5" customHeight="1" x14ac:dyDescent="0.25">
      <c r="A469" s="101">
        <v>186</v>
      </c>
      <c r="B469" s="118" t="s">
        <v>1399</v>
      </c>
      <c r="C469" s="118" t="s">
        <v>1402</v>
      </c>
      <c r="D469" s="108" t="s">
        <v>626</v>
      </c>
      <c r="E469" s="128" t="s">
        <v>1409</v>
      </c>
      <c r="F469" s="125">
        <f>1702/1000</f>
        <v>1.702</v>
      </c>
      <c r="G469" s="101" t="s">
        <v>428</v>
      </c>
      <c r="H469" s="101" t="s">
        <v>1961</v>
      </c>
      <c r="I469" s="93">
        <v>31900</v>
      </c>
      <c r="J469" s="125">
        <f>545/1000</f>
        <v>0.54500000000000004</v>
      </c>
      <c r="K469" s="128">
        <v>3.1</v>
      </c>
      <c r="L469" s="128">
        <v>2022</v>
      </c>
      <c r="M469" s="128" t="s">
        <v>1299</v>
      </c>
      <c r="N469" s="101" t="s">
        <v>554</v>
      </c>
    </row>
    <row r="470" spans="1:14" ht="24.75" customHeight="1" x14ac:dyDescent="0.25">
      <c r="A470" s="194"/>
      <c r="B470" s="562" t="s">
        <v>555</v>
      </c>
      <c r="C470" s="563"/>
      <c r="D470" s="563"/>
      <c r="E470" s="564"/>
      <c r="F470" s="129">
        <v>1.7</v>
      </c>
      <c r="G470" s="194"/>
      <c r="H470" s="194"/>
      <c r="I470" s="194"/>
      <c r="J470" s="129">
        <v>0.5</v>
      </c>
      <c r="K470" s="194"/>
      <c r="L470" s="194"/>
      <c r="M470" s="194"/>
      <c r="N470" s="194"/>
    </row>
    <row r="471" spans="1:14" ht="25.5" customHeight="1" x14ac:dyDescent="0.25">
      <c r="A471" s="101">
        <v>187</v>
      </c>
      <c r="B471" s="118" t="s">
        <v>1399</v>
      </c>
      <c r="C471" s="118" t="s">
        <v>1403</v>
      </c>
      <c r="D471" s="108" t="s">
        <v>1405</v>
      </c>
      <c r="E471" s="128" t="s">
        <v>1409</v>
      </c>
      <c r="F471" s="125">
        <f>11750/1000</f>
        <v>11.75</v>
      </c>
      <c r="G471" s="101" t="s">
        <v>428</v>
      </c>
      <c r="H471" s="101" t="s">
        <v>37</v>
      </c>
      <c r="I471" s="150">
        <v>235.7</v>
      </c>
      <c r="J471" s="125">
        <f>4196.4/1000</f>
        <v>4.1963999999999997</v>
      </c>
      <c r="K471" s="128">
        <v>2.8</v>
      </c>
      <c r="L471" s="128">
        <v>2022</v>
      </c>
      <c r="M471" s="128" t="s">
        <v>1299</v>
      </c>
      <c r="N471" s="101" t="s">
        <v>554</v>
      </c>
    </row>
    <row r="472" spans="1:14" ht="27" customHeight="1" x14ac:dyDescent="0.25">
      <c r="A472" s="194"/>
      <c r="B472" s="562" t="s">
        <v>555</v>
      </c>
      <c r="C472" s="563"/>
      <c r="D472" s="563"/>
      <c r="E472" s="564"/>
      <c r="F472" s="129">
        <v>11.8</v>
      </c>
      <c r="G472" s="194"/>
      <c r="H472" s="194"/>
      <c r="I472" s="194"/>
      <c r="J472" s="129">
        <v>4.2</v>
      </c>
      <c r="K472" s="194"/>
      <c r="L472" s="194"/>
      <c r="M472" s="194"/>
      <c r="N472" s="194"/>
    </row>
    <row r="473" spans="1:14" ht="85.5" customHeight="1" x14ac:dyDescent="0.25">
      <c r="A473" s="101">
        <v>188</v>
      </c>
      <c r="B473" s="103" t="s">
        <v>1411</v>
      </c>
      <c r="C473" s="103" t="s">
        <v>1406</v>
      </c>
      <c r="D473" s="108" t="s">
        <v>1407</v>
      </c>
      <c r="E473" s="107" t="s">
        <v>1410</v>
      </c>
      <c r="F473" s="127">
        <f>9.432565</f>
        <v>9.4325650000000003</v>
      </c>
      <c r="G473" s="101" t="s">
        <v>1217</v>
      </c>
      <c r="H473" s="101" t="s">
        <v>1961</v>
      </c>
      <c r="I473" s="93">
        <v>22663</v>
      </c>
      <c r="J473" s="127">
        <v>0.49609999999999999</v>
      </c>
      <c r="K473" s="128">
        <v>19</v>
      </c>
      <c r="L473" s="128">
        <v>2022</v>
      </c>
      <c r="M473" s="128" t="s">
        <v>1299</v>
      </c>
      <c r="N473" s="101" t="s">
        <v>554</v>
      </c>
    </row>
    <row r="474" spans="1:14" ht="32.25" customHeight="1" x14ac:dyDescent="0.25">
      <c r="A474" s="194"/>
      <c r="B474" s="562" t="s">
        <v>555</v>
      </c>
      <c r="C474" s="563"/>
      <c r="D474" s="563"/>
      <c r="E474" s="564"/>
      <c r="F474" s="130">
        <v>9.4326000000000008</v>
      </c>
      <c r="G474" s="194"/>
      <c r="H474" s="194"/>
      <c r="I474" s="194"/>
      <c r="J474" s="130">
        <v>0.49609999999999999</v>
      </c>
      <c r="K474" s="194"/>
      <c r="L474" s="194"/>
      <c r="M474" s="194"/>
      <c r="N474" s="194"/>
    </row>
    <row r="475" spans="1:14" ht="66.75" customHeight="1" x14ac:dyDescent="0.25">
      <c r="A475" s="101">
        <v>189</v>
      </c>
      <c r="B475" s="103" t="s">
        <v>1448</v>
      </c>
      <c r="C475" s="103" t="s">
        <v>1447</v>
      </c>
      <c r="D475" s="103" t="s">
        <v>1447</v>
      </c>
      <c r="E475" s="107" t="s">
        <v>1479</v>
      </c>
      <c r="F475" s="127">
        <v>1.15066</v>
      </c>
      <c r="G475" s="101" t="s">
        <v>428</v>
      </c>
      <c r="H475" s="101" t="s">
        <v>1961</v>
      </c>
      <c r="I475" s="93">
        <v>79155</v>
      </c>
      <c r="J475" s="155">
        <v>1.8</v>
      </c>
      <c r="K475" s="128">
        <v>0.6</v>
      </c>
      <c r="L475" s="128">
        <v>2022</v>
      </c>
      <c r="M475" s="128" t="s">
        <v>861</v>
      </c>
      <c r="N475" s="101" t="s">
        <v>554</v>
      </c>
    </row>
    <row r="476" spans="1:14" ht="20.25" x14ac:dyDescent="0.25">
      <c r="A476" s="158"/>
      <c r="B476" s="567" t="s">
        <v>555</v>
      </c>
      <c r="C476" s="567"/>
      <c r="D476" s="567"/>
      <c r="E476" s="567"/>
      <c r="F476" s="130">
        <f>F475</f>
        <v>1.15066</v>
      </c>
      <c r="G476" s="158"/>
      <c r="H476" s="158"/>
      <c r="I476" s="158"/>
      <c r="J476" s="156">
        <f>J475</f>
        <v>1.8</v>
      </c>
      <c r="K476" s="158"/>
      <c r="L476" s="158"/>
      <c r="M476" s="158"/>
      <c r="N476" s="158"/>
    </row>
    <row r="477" spans="1:14" ht="60" customHeight="1" x14ac:dyDescent="0.25">
      <c r="A477" s="101">
        <v>190</v>
      </c>
      <c r="B477" s="103" t="s">
        <v>1467</v>
      </c>
      <c r="C477" s="103" t="s">
        <v>1468</v>
      </c>
      <c r="D477" s="103" t="s">
        <v>1469</v>
      </c>
      <c r="E477" s="107" t="s">
        <v>1480</v>
      </c>
      <c r="F477" s="127">
        <v>0.42699999999999999</v>
      </c>
      <c r="G477" s="128" t="s">
        <v>988</v>
      </c>
      <c r="H477" s="87" t="s">
        <v>283</v>
      </c>
      <c r="I477" s="93">
        <v>2583381</v>
      </c>
      <c r="J477" s="127">
        <v>9.2999999999999999E-2</v>
      </c>
      <c r="K477" s="128">
        <v>4.5999999999999996</v>
      </c>
      <c r="L477" s="128">
        <v>2022</v>
      </c>
      <c r="M477" s="128" t="s">
        <v>860</v>
      </c>
      <c r="N477" s="101" t="s">
        <v>554</v>
      </c>
    </row>
    <row r="478" spans="1:14" ht="15.75" customHeight="1" x14ac:dyDescent="0.25">
      <c r="A478" s="101"/>
      <c r="B478" s="431" t="s">
        <v>555</v>
      </c>
      <c r="C478" s="431"/>
      <c r="D478" s="431"/>
      <c r="E478" s="431"/>
      <c r="F478" s="130">
        <v>0.42699999999999999</v>
      </c>
      <c r="G478" s="35"/>
      <c r="H478" s="87"/>
      <c r="I478" s="93"/>
      <c r="J478" s="130">
        <v>9.2999999999999999E-2</v>
      </c>
      <c r="K478" s="128"/>
      <c r="L478" s="35"/>
      <c r="M478" s="128"/>
      <c r="N478" s="113"/>
    </row>
    <row r="479" spans="1:14" ht="75" x14ac:dyDescent="0.25">
      <c r="A479" s="101">
        <v>191</v>
      </c>
      <c r="B479" s="103" t="s">
        <v>1467</v>
      </c>
      <c r="C479" s="103" t="s">
        <v>1468</v>
      </c>
      <c r="D479" s="103" t="s">
        <v>1470</v>
      </c>
      <c r="E479" s="107" t="s">
        <v>1480</v>
      </c>
      <c r="F479" s="127">
        <v>0.44900000000000001</v>
      </c>
      <c r="G479" s="128" t="s">
        <v>988</v>
      </c>
      <c r="H479" s="87" t="s">
        <v>283</v>
      </c>
      <c r="I479" s="93">
        <v>2602320</v>
      </c>
      <c r="J479" s="127">
        <v>9.2999999999999999E-2</v>
      </c>
      <c r="K479" s="128">
        <v>4.8</v>
      </c>
      <c r="L479" s="128">
        <v>2022</v>
      </c>
      <c r="M479" s="128" t="s">
        <v>860</v>
      </c>
      <c r="N479" s="101" t="s">
        <v>554</v>
      </c>
    </row>
    <row r="480" spans="1:14" ht="15.75" customHeight="1" x14ac:dyDescent="0.25">
      <c r="A480" s="101"/>
      <c r="B480" s="431" t="s">
        <v>555</v>
      </c>
      <c r="C480" s="431"/>
      <c r="D480" s="431"/>
      <c r="E480" s="431"/>
      <c r="F480" s="130">
        <v>0.44900000000000001</v>
      </c>
      <c r="G480" s="35"/>
      <c r="H480" s="87"/>
      <c r="I480" s="93"/>
      <c r="J480" s="130">
        <v>9.2999999999999999E-2</v>
      </c>
      <c r="K480" s="128"/>
      <c r="L480" s="35"/>
      <c r="M480" s="128"/>
      <c r="N480" s="113"/>
    </row>
    <row r="481" spans="1:14" ht="63" customHeight="1" x14ac:dyDescent="0.25">
      <c r="A481" s="101">
        <v>192</v>
      </c>
      <c r="B481" s="103" t="s">
        <v>1467</v>
      </c>
      <c r="C481" s="103" t="s">
        <v>1468</v>
      </c>
      <c r="D481" s="103" t="s">
        <v>1471</v>
      </c>
      <c r="E481" s="107" t="s">
        <v>1480</v>
      </c>
      <c r="F481" s="127">
        <v>0.435</v>
      </c>
      <c r="G481" s="128" t="s">
        <v>988</v>
      </c>
      <c r="H481" s="87" t="s">
        <v>283</v>
      </c>
      <c r="I481" s="93">
        <v>2576309</v>
      </c>
      <c r="J481" s="127">
        <v>9.2999999999999999E-2</v>
      </c>
      <c r="K481" s="128">
        <v>4.7</v>
      </c>
      <c r="L481" s="128">
        <v>2022</v>
      </c>
      <c r="M481" s="128" t="s">
        <v>860</v>
      </c>
      <c r="N481" s="101" t="s">
        <v>554</v>
      </c>
    </row>
    <row r="482" spans="1:14" ht="15.75" customHeight="1" x14ac:dyDescent="0.25">
      <c r="A482" s="101"/>
      <c r="B482" s="431" t="s">
        <v>555</v>
      </c>
      <c r="C482" s="431"/>
      <c r="D482" s="431"/>
      <c r="E482" s="431"/>
      <c r="F482" s="130">
        <v>0.435</v>
      </c>
      <c r="G482" s="35"/>
      <c r="H482" s="87"/>
      <c r="I482" s="93"/>
      <c r="J482" s="130">
        <v>9.2999999999999999E-2</v>
      </c>
      <c r="K482" s="128"/>
      <c r="L482" s="35"/>
      <c r="M482" s="128"/>
      <c r="N482" s="113"/>
    </row>
    <row r="483" spans="1:14" ht="66" customHeight="1" x14ac:dyDescent="0.25">
      <c r="A483" s="101">
        <v>193</v>
      </c>
      <c r="B483" s="103" t="s">
        <v>1467</v>
      </c>
      <c r="C483" s="103" t="s">
        <v>1468</v>
      </c>
      <c r="D483" s="120" t="s">
        <v>1472</v>
      </c>
      <c r="E483" s="107" t="s">
        <v>1480</v>
      </c>
      <c r="F483" s="127">
        <v>0.46500000000000002</v>
      </c>
      <c r="G483" s="128" t="s">
        <v>988</v>
      </c>
      <c r="H483" s="87" t="s">
        <v>283</v>
      </c>
      <c r="I483" s="93">
        <v>2639531</v>
      </c>
      <c r="J483" s="127">
        <v>9.5000000000000001E-2</v>
      </c>
      <c r="K483" s="128">
        <v>4.9000000000000004</v>
      </c>
      <c r="L483" s="128">
        <v>2022</v>
      </c>
      <c r="M483" s="128" t="s">
        <v>860</v>
      </c>
      <c r="N483" s="101" t="s">
        <v>554</v>
      </c>
    </row>
    <row r="484" spans="1:14" ht="19.5" x14ac:dyDescent="0.25">
      <c r="A484" s="101"/>
      <c r="B484" s="431" t="s">
        <v>555</v>
      </c>
      <c r="C484" s="431"/>
      <c r="D484" s="431"/>
      <c r="E484" s="431"/>
      <c r="F484" s="130">
        <v>0.46500000000000002</v>
      </c>
      <c r="G484" s="35"/>
      <c r="H484" s="87"/>
      <c r="I484" s="93"/>
      <c r="J484" s="130">
        <v>9.5000000000000001E-2</v>
      </c>
      <c r="K484" s="128"/>
      <c r="L484" s="35"/>
      <c r="M484" s="128"/>
      <c r="N484" s="113"/>
    </row>
    <row r="485" spans="1:14" ht="73.5" customHeight="1" x14ac:dyDescent="0.25">
      <c r="A485" s="101">
        <v>194</v>
      </c>
      <c r="B485" s="103" t="s">
        <v>1467</v>
      </c>
      <c r="C485" s="103" t="s">
        <v>1468</v>
      </c>
      <c r="D485" s="103" t="s">
        <v>1473</v>
      </c>
      <c r="E485" s="107" t="s">
        <v>1480</v>
      </c>
      <c r="F485" s="127">
        <v>0.39200000000000002</v>
      </c>
      <c r="G485" s="128" t="s">
        <v>988</v>
      </c>
      <c r="H485" s="87" t="s">
        <v>283</v>
      </c>
      <c r="I485" s="93">
        <v>2426156</v>
      </c>
      <c r="J485" s="127">
        <v>8.6999999999999994E-2</v>
      </c>
      <c r="K485" s="128">
        <v>4.5</v>
      </c>
      <c r="L485" s="128">
        <v>2022</v>
      </c>
      <c r="M485" s="128" t="s">
        <v>860</v>
      </c>
      <c r="N485" s="101" t="s">
        <v>554</v>
      </c>
    </row>
    <row r="486" spans="1:14" ht="18.75" customHeight="1" x14ac:dyDescent="0.25">
      <c r="A486" s="35"/>
      <c r="B486" s="431" t="s">
        <v>555</v>
      </c>
      <c r="C486" s="431"/>
      <c r="D486" s="431"/>
      <c r="E486" s="431"/>
      <c r="F486" s="130">
        <v>0.39200000000000002</v>
      </c>
      <c r="G486" s="35"/>
      <c r="H486" s="35"/>
      <c r="I486" s="35"/>
      <c r="J486" s="130">
        <v>8.6999999999999994E-2</v>
      </c>
      <c r="K486" s="35"/>
      <c r="L486" s="35"/>
      <c r="M486" s="35"/>
      <c r="N486" s="35"/>
    </row>
    <row r="487" spans="1:14" ht="66.75" customHeight="1" x14ac:dyDescent="0.25">
      <c r="A487" s="101">
        <v>195</v>
      </c>
      <c r="B487" s="103" t="s">
        <v>1474</v>
      </c>
      <c r="C487" s="103" t="s">
        <v>952</v>
      </c>
      <c r="D487" s="103" t="s">
        <v>952</v>
      </c>
      <c r="E487" s="107" t="s">
        <v>1481</v>
      </c>
      <c r="F487" s="127">
        <v>8.7188199999999991</v>
      </c>
      <c r="G487" s="128" t="s">
        <v>988</v>
      </c>
      <c r="H487" s="101" t="s">
        <v>1961</v>
      </c>
      <c r="I487" s="93">
        <v>419235</v>
      </c>
      <c r="J487" s="127">
        <v>9.4777000000000005</v>
      </c>
      <c r="K487" s="128">
        <v>0.9</v>
      </c>
      <c r="L487" s="128">
        <v>2022</v>
      </c>
      <c r="M487" s="128" t="s">
        <v>860</v>
      </c>
      <c r="N487" s="101" t="s">
        <v>554</v>
      </c>
    </row>
    <row r="488" spans="1:14" ht="19.5" x14ac:dyDescent="0.25">
      <c r="A488" s="35"/>
      <c r="B488" s="431" t="s">
        <v>555</v>
      </c>
      <c r="C488" s="431"/>
      <c r="D488" s="431"/>
      <c r="E488" s="431"/>
      <c r="F488" s="130">
        <f>F487</f>
        <v>8.7188199999999991</v>
      </c>
      <c r="G488" s="35"/>
      <c r="H488" s="35"/>
      <c r="I488" s="35"/>
      <c r="J488" s="130">
        <f>J487</f>
        <v>9.4777000000000005</v>
      </c>
      <c r="K488" s="35"/>
      <c r="L488" s="35"/>
      <c r="M488" s="35"/>
      <c r="N488" s="35"/>
    </row>
    <row r="489" spans="1:14" ht="18.75" x14ac:dyDescent="0.25">
      <c r="A489" s="453">
        <v>196</v>
      </c>
      <c r="B489" s="429" t="s">
        <v>1475</v>
      </c>
      <c r="C489" s="426" t="s">
        <v>1476</v>
      </c>
      <c r="D489" s="117" t="s">
        <v>1477</v>
      </c>
      <c r="E489" s="568" t="s">
        <v>1482</v>
      </c>
      <c r="F489" s="114">
        <f>800/1000</f>
        <v>0.8</v>
      </c>
      <c r="G489" s="447" t="s">
        <v>1217</v>
      </c>
      <c r="H489" s="100" t="s">
        <v>1959</v>
      </c>
      <c r="I489" s="115">
        <v>7.7</v>
      </c>
      <c r="J489" s="114">
        <f>345.195/1000</f>
        <v>0.34519499999999997</v>
      </c>
      <c r="K489" s="116">
        <v>2.2999999999999998</v>
      </c>
      <c r="L489" s="447">
        <v>2021</v>
      </c>
      <c r="M489" s="433" t="s">
        <v>1144</v>
      </c>
      <c r="N489" s="492" t="s">
        <v>554</v>
      </c>
    </row>
    <row r="490" spans="1:14" ht="37.5" x14ac:dyDescent="0.25">
      <c r="A490" s="453"/>
      <c r="B490" s="429"/>
      <c r="C490" s="426"/>
      <c r="D490" s="117" t="s">
        <v>2232</v>
      </c>
      <c r="E490" s="568"/>
      <c r="F490" s="81">
        <f>28320/1000</f>
        <v>28.32</v>
      </c>
      <c r="G490" s="491"/>
      <c r="H490" s="101" t="s">
        <v>1961</v>
      </c>
      <c r="I490" s="83" t="s">
        <v>1168</v>
      </c>
      <c r="J490" s="81">
        <f>9367.77/1000</f>
        <v>9.3677700000000002</v>
      </c>
      <c r="K490" s="101">
        <v>3.1</v>
      </c>
      <c r="L490" s="491"/>
      <c r="M490" s="427"/>
      <c r="N490" s="493"/>
    </row>
    <row r="491" spans="1:14" ht="37.5" x14ac:dyDescent="0.25">
      <c r="A491" s="453"/>
      <c r="B491" s="429"/>
      <c r="C491" s="426"/>
      <c r="D491" s="117" t="s">
        <v>1478</v>
      </c>
      <c r="E491" s="568"/>
      <c r="F491" s="81">
        <f>210/1000</f>
        <v>0.21</v>
      </c>
      <c r="G491" s="448"/>
      <c r="H491" s="101" t="s">
        <v>1961</v>
      </c>
      <c r="I491" s="83" t="s">
        <v>1169</v>
      </c>
      <c r="J491" s="81">
        <f>220.031/1000</f>
        <v>0.220031</v>
      </c>
      <c r="K491" s="84">
        <v>0.95</v>
      </c>
      <c r="L491" s="448"/>
      <c r="M491" s="427"/>
      <c r="N491" s="494"/>
    </row>
    <row r="492" spans="1:14" ht="19.5" x14ac:dyDescent="0.25">
      <c r="A492" s="35"/>
      <c r="B492" s="431" t="s">
        <v>555</v>
      </c>
      <c r="C492" s="431"/>
      <c r="D492" s="431"/>
      <c r="E492" s="431"/>
      <c r="F492" s="154">
        <f>F489+F490+F491</f>
        <v>29.330000000000002</v>
      </c>
      <c r="G492" s="35"/>
      <c r="H492" s="87"/>
      <c r="I492" s="83"/>
      <c r="J492" s="154">
        <f>J489+J490+J491</f>
        <v>9.932996000000001</v>
      </c>
      <c r="K492" s="84"/>
      <c r="L492" s="35"/>
      <c r="M492" s="35"/>
      <c r="N492" s="35"/>
    </row>
    <row r="493" spans="1:14" ht="41.25" customHeight="1" x14ac:dyDescent="0.25">
      <c r="A493" s="449">
        <v>197</v>
      </c>
      <c r="B493" s="450" t="s">
        <v>1487</v>
      </c>
      <c r="C493" s="450" t="s">
        <v>1488</v>
      </c>
      <c r="D493" s="160" t="s">
        <v>1489</v>
      </c>
      <c r="E493" s="447" t="s">
        <v>1031</v>
      </c>
      <c r="F493" s="127">
        <v>2.1230000000000002</v>
      </c>
      <c r="G493" s="447" t="s">
        <v>999</v>
      </c>
      <c r="H493" s="101" t="s">
        <v>1961</v>
      </c>
      <c r="I493" s="161">
        <v>10700</v>
      </c>
      <c r="J493" s="162">
        <v>0.23699999999999999</v>
      </c>
      <c r="K493" s="128">
        <v>9</v>
      </c>
      <c r="L493" s="447">
        <v>2022</v>
      </c>
      <c r="M493" s="447" t="s">
        <v>218</v>
      </c>
      <c r="N493" s="600" t="s">
        <v>554</v>
      </c>
    </row>
    <row r="494" spans="1:14" ht="44.25" customHeight="1" x14ac:dyDescent="0.25">
      <c r="A494" s="433"/>
      <c r="B494" s="451"/>
      <c r="C494" s="451"/>
      <c r="D494" s="160" t="s">
        <v>1490</v>
      </c>
      <c r="E494" s="448"/>
      <c r="F494" s="127">
        <v>1.48</v>
      </c>
      <c r="G494" s="448"/>
      <c r="H494" s="163" t="s">
        <v>37</v>
      </c>
      <c r="I494" s="93">
        <v>8.8000000000000007</v>
      </c>
      <c r="J494" s="127">
        <v>0.10299999999999999</v>
      </c>
      <c r="K494" s="165">
        <v>14</v>
      </c>
      <c r="L494" s="448"/>
      <c r="M494" s="448"/>
      <c r="N494" s="601"/>
    </row>
    <row r="495" spans="1:14" ht="19.5" x14ac:dyDescent="0.25">
      <c r="A495" s="35"/>
      <c r="B495" s="431" t="s">
        <v>555</v>
      </c>
      <c r="C495" s="431"/>
      <c r="D495" s="431"/>
      <c r="E495" s="431"/>
      <c r="F495" s="130">
        <f>F493+F494</f>
        <v>3.6030000000000002</v>
      </c>
      <c r="G495" s="35"/>
      <c r="H495" s="35"/>
      <c r="I495" s="35"/>
      <c r="J495" s="130">
        <f>J493+J494</f>
        <v>0.33999999999999997</v>
      </c>
      <c r="K495" s="35"/>
      <c r="L495" s="35"/>
      <c r="M495" s="35"/>
      <c r="N495" s="35"/>
    </row>
    <row r="496" spans="1:14" ht="75" x14ac:dyDescent="0.25">
      <c r="A496" s="101">
        <v>198</v>
      </c>
      <c r="B496" s="103" t="s">
        <v>1491</v>
      </c>
      <c r="C496" s="103" t="s">
        <v>1496</v>
      </c>
      <c r="D496" s="103" t="s">
        <v>1492</v>
      </c>
      <c r="E496" s="107" t="s">
        <v>1483</v>
      </c>
      <c r="F496" s="127">
        <v>10.0267</v>
      </c>
      <c r="G496" s="101" t="s">
        <v>999</v>
      </c>
      <c r="H496" s="101" t="s">
        <v>1961</v>
      </c>
      <c r="I496" s="93">
        <v>35697</v>
      </c>
      <c r="J496" s="127">
        <v>1.0052000000000001</v>
      </c>
      <c r="K496" s="128">
        <v>10</v>
      </c>
      <c r="L496" s="128">
        <v>2022</v>
      </c>
      <c r="M496" s="128" t="s">
        <v>860</v>
      </c>
      <c r="N496" s="101" t="s">
        <v>554</v>
      </c>
    </row>
    <row r="497" spans="1:14" ht="19.5" x14ac:dyDescent="0.25">
      <c r="A497" s="35"/>
      <c r="B497" s="431" t="s">
        <v>555</v>
      </c>
      <c r="C497" s="431"/>
      <c r="D497" s="431"/>
      <c r="E497" s="431"/>
      <c r="F497" s="130">
        <f>F496</f>
        <v>10.0267</v>
      </c>
      <c r="G497" s="35"/>
      <c r="H497" s="35"/>
      <c r="I497" s="35"/>
      <c r="J497" s="130">
        <f>J496</f>
        <v>1.0052000000000001</v>
      </c>
      <c r="K497" s="35"/>
      <c r="L497" s="35"/>
      <c r="M497" s="35"/>
      <c r="N497" s="35"/>
    </row>
    <row r="498" spans="1:14" ht="56.25" x14ac:dyDescent="0.25">
      <c r="A498" s="101">
        <v>199</v>
      </c>
      <c r="B498" s="103" t="s">
        <v>1497</v>
      </c>
      <c r="C498" s="103" t="s">
        <v>1498</v>
      </c>
      <c r="D498" s="103" t="s">
        <v>1492</v>
      </c>
      <c r="E498" s="107" t="s">
        <v>1483</v>
      </c>
      <c r="F498" s="127">
        <v>12.7018</v>
      </c>
      <c r="G498" s="101" t="s">
        <v>999</v>
      </c>
      <c r="H498" s="101" t="s">
        <v>1961</v>
      </c>
      <c r="I498" s="93">
        <v>34217</v>
      </c>
      <c r="J498" s="127">
        <v>0.73019999999999996</v>
      </c>
      <c r="K498" s="128">
        <v>17.399999999999999</v>
      </c>
      <c r="L498" s="128">
        <v>2022</v>
      </c>
      <c r="M498" s="128" t="s">
        <v>860</v>
      </c>
      <c r="N498" s="101" t="s">
        <v>554</v>
      </c>
    </row>
    <row r="499" spans="1:14" ht="19.5" x14ac:dyDescent="0.25">
      <c r="A499" s="35"/>
      <c r="B499" s="431" t="s">
        <v>555</v>
      </c>
      <c r="C499" s="431"/>
      <c r="D499" s="431"/>
      <c r="E499" s="431"/>
      <c r="F499" s="130">
        <f>F498</f>
        <v>12.7018</v>
      </c>
      <c r="G499" s="35"/>
      <c r="H499" s="35"/>
      <c r="I499" s="35"/>
      <c r="J499" s="130">
        <f>J498</f>
        <v>0.73019999999999996</v>
      </c>
      <c r="K499" s="35"/>
      <c r="L499" s="35"/>
      <c r="M499" s="35"/>
      <c r="N499" s="35"/>
    </row>
    <row r="500" spans="1:14" ht="48.75" customHeight="1" x14ac:dyDescent="0.25">
      <c r="A500" s="101">
        <v>200</v>
      </c>
      <c r="B500" s="103" t="s">
        <v>1510</v>
      </c>
      <c r="C500" s="103" t="s">
        <v>1499</v>
      </c>
      <c r="D500" s="103" t="s">
        <v>1492</v>
      </c>
      <c r="E500" s="107" t="s">
        <v>1031</v>
      </c>
      <c r="F500" s="127">
        <v>0.14599999999999999</v>
      </c>
      <c r="G500" s="101" t="s">
        <v>999</v>
      </c>
      <c r="H500" s="101" t="s">
        <v>1961</v>
      </c>
      <c r="I500" s="93">
        <v>9400</v>
      </c>
      <c r="J500" s="127">
        <v>0.223</v>
      </c>
      <c r="K500" s="128">
        <v>0.6</v>
      </c>
      <c r="L500" s="128">
        <v>2022</v>
      </c>
      <c r="M500" s="128" t="s">
        <v>860</v>
      </c>
      <c r="N500" s="101" t="s">
        <v>554</v>
      </c>
    </row>
    <row r="501" spans="1:14" ht="19.5" x14ac:dyDescent="0.25">
      <c r="A501" s="35"/>
      <c r="B501" s="431" t="s">
        <v>555</v>
      </c>
      <c r="C501" s="431"/>
      <c r="D501" s="431"/>
      <c r="E501" s="431"/>
      <c r="F501" s="130">
        <f>F500</f>
        <v>0.14599999999999999</v>
      </c>
      <c r="G501" s="35"/>
      <c r="H501" s="35"/>
      <c r="I501" s="35"/>
      <c r="J501" s="130">
        <f>J500</f>
        <v>0.223</v>
      </c>
      <c r="K501" s="35"/>
      <c r="L501" s="35"/>
      <c r="M501" s="35"/>
      <c r="N501" s="35"/>
    </row>
    <row r="502" spans="1:14" ht="45" customHeight="1" x14ac:dyDescent="0.25">
      <c r="A502" s="101">
        <v>201</v>
      </c>
      <c r="B502" s="103" t="s">
        <v>1500</v>
      </c>
      <c r="C502" s="103" t="s">
        <v>1502</v>
      </c>
      <c r="D502" s="103" t="s">
        <v>1492</v>
      </c>
      <c r="E502" s="107" t="s">
        <v>1484</v>
      </c>
      <c r="F502" s="127">
        <v>15.306100000000001</v>
      </c>
      <c r="G502" s="101" t="s">
        <v>999</v>
      </c>
      <c r="H502" s="101" t="s">
        <v>1961</v>
      </c>
      <c r="I502" s="93">
        <v>63893</v>
      </c>
      <c r="J502" s="127">
        <v>1.6836</v>
      </c>
      <c r="K502" s="128">
        <v>9</v>
      </c>
      <c r="L502" s="128">
        <v>2022</v>
      </c>
      <c r="M502" s="128" t="s">
        <v>866</v>
      </c>
      <c r="N502" s="101" t="s">
        <v>554</v>
      </c>
    </row>
    <row r="503" spans="1:14" ht="19.5" x14ac:dyDescent="0.25">
      <c r="A503" s="35"/>
      <c r="B503" s="431" t="s">
        <v>555</v>
      </c>
      <c r="C503" s="431"/>
      <c r="D503" s="431"/>
      <c r="E503" s="431"/>
      <c r="F503" s="130">
        <f>F502</f>
        <v>15.306100000000001</v>
      </c>
      <c r="G503" s="35"/>
      <c r="H503" s="35"/>
      <c r="I503" s="35"/>
      <c r="J503" s="130">
        <f>J502</f>
        <v>1.6836</v>
      </c>
      <c r="K503" s="35"/>
      <c r="L503" s="35"/>
      <c r="M503" s="35"/>
      <c r="N503" s="35"/>
    </row>
    <row r="504" spans="1:14" ht="37.5" x14ac:dyDescent="0.25">
      <c r="A504" s="101">
        <v>202</v>
      </c>
      <c r="B504" s="103" t="s">
        <v>1501</v>
      </c>
      <c r="C504" s="103" t="s">
        <v>1503</v>
      </c>
      <c r="D504" s="103" t="s">
        <v>1492</v>
      </c>
      <c r="E504" s="107" t="s">
        <v>1485</v>
      </c>
      <c r="F504" s="127">
        <v>12.426299999999999</v>
      </c>
      <c r="G504" s="101" t="s">
        <v>999</v>
      </c>
      <c r="H504" s="101" t="s">
        <v>1961</v>
      </c>
      <c r="I504" s="93">
        <v>39898</v>
      </c>
      <c r="J504" s="127">
        <v>1.6187</v>
      </c>
      <c r="K504" s="128">
        <v>7.7</v>
      </c>
      <c r="L504" s="128">
        <v>2022</v>
      </c>
      <c r="M504" s="128" t="s">
        <v>866</v>
      </c>
      <c r="N504" s="101" t="s">
        <v>554</v>
      </c>
    </row>
    <row r="505" spans="1:14" ht="19.5" x14ac:dyDescent="0.25">
      <c r="A505" s="35"/>
      <c r="B505" s="431" t="s">
        <v>555</v>
      </c>
      <c r="C505" s="431"/>
      <c r="D505" s="431"/>
      <c r="E505" s="431"/>
      <c r="F505" s="130">
        <f>F504</f>
        <v>12.426299999999999</v>
      </c>
      <c r="G505" s="35"/>
      <c r="H505" s="35"/>
      <c r="I505" s="35"/>
      <c r="J505" s="130">
        <f>J504</f>
        <v>1.6187</v>
      </c>
      <c r="K505" s="35"/>
      <c r="L505" s="35"/>
      <c r="M505" s="35"/>
      <c r="N505" s="35"/>
    </row>
    <row r="506" spans="1:14" ht="18.75" x14ac:dyDescent="0.25">
      <c r="A506" s="449">
        <v>203</v>
      </c>
      <c r="B506" s="450" t="s">
        <v>1495</v>
      </c>
      <c r="C506" s="450" t="s">
        <v>1494</v>
      </c>
      <c r="D506" s="160" t="s">
        <v>1492</v>
      </c>
      <c r="E506" s="447" t="s">
        <v>1483</v>
      </c>
      <c r="F506" s="127">
        <v>0.58660000000000001</v>
      </c>
      <c r="G506" s="447" t="s">
        <v>999</v>
      </c>
      <c r="H506" s="101" t="s">
        <v>1961</v>
      </c>
      <c r="I506" s="161">
        <v>12632</v>
      </c>
      <c r="J506" s="162">
        <v>0.32200000000000001</v>
      </c>
      <c r="K506" s="128">
        <v>2</v>
      </c>
      <c r="L506" s="447">
        <v>2022</v>
      </c>
      <c r="M506" s="447" t="s">
        <v>865</v>
      </c>
      <c r="N506" s="600" t="s">
        <v>554</v>
      </c>
    </row>
    <row r="507" spans="1:14" ht="37.5" customHeight="1" x14ac:dyDescent="0.25">
      <c r="A507" s="433"/>
      <c r="B507" s="451"/>
      <c r="C507" s="451"/>
      <c r="D507" s="160" t="s">
        <v>1493</v>
      </c>
      <c r="E507" s="448"/>
      <c r="F507" s="127">
        <v>5.694</v>
      </c>
      <c r="G507" s="448"/>
      <c r="H507" s="163" t="s">
        <v>37</v>
      </c>
      <c r="I507" s="93">
        <v>41.59</v>
      </c>
      <c r="J507" s="127">
        <v>0.54200000000000004</v>
      </c>
      <c r="K507" s="165">
        <v>10</v>
      </c>
      <c r="L507" s="448"/>
      <c r="M507" s="448"/>
      <c r="N507" s="601"/>
    </row>
    <row r="508" spans="1:14" ht="19.5" x14ac:dyDescent="0.25">
      <c r="A508" s="35"/>
      <c r="B508" s="431" t="s">
        <v>555</v>
      </c>
      <c r="C508" s="431"/>
      <c r="D508" s="431"/>
      <c r="E508" s="431"/>
      <c r="F508" s="130">
        <f>F506+F507</f>
        <v>6.2805999999999997</v>
      </c>
      <c r="G508" s="35"/>
      <c r="H508" s="35"/>
      <c r="I508" s="35"/>
      <c r="J508" s="130">
        <f>J506+J507</f>
        <v>0.8640000000000001</v>
      </c>
      <c r="K508" s="35"/>
      <c r="L508" s="35"/>
      <c r="M508" s="35"/>
      <c r="N508" s="35"/>
    </row>
    <row r="509" spans="1:14" ht="37.5" x14ac:dyDescent="0.25">
      <c r="A509" s="449">
        <v>204</v>
      </c>
      <c r="B509" s="450" t="s">
        <v>1504</v>
      </c>
      <c r="C509" s="450" t="s">
        <v>1505</v>
      </c>
      <c r="D509" s="160" t="s">
        <v>2227</v>
      </c>
      <c r="E509" s="447" t="s">
        <v>1485</v>
      </c>
      <c r="F509" s="127">
        <v>29.262799999999999</v>
      </c>
      <c r="G509" s="447" t="s">
        <v>999</v>
      </c>
      <c r="H509" s="101" t="s">
        <v>1961</v>
      </c>
      <c r="I509" s="161">
        <v>118400</v>
      </c>
      <c r="J509" s="162">
        <v>1.9092</v>
      </c>
      <c r="K509" s="128">
        <v>15.3</v>
      </c>
      <c r="L509" s="447">
        <v>2022</v>
      </c>
      <c r="M509" s="447" t="s">
        <v>1299</v>
      </c>
      <c r="N509" s="600" t="s">
        <v>554</v>
      </c>
    </row>
    <row r="510" spans="1:14" ht="18.75" x14ac:dyDescent="0.25">
      <c r="A510" s="433"/>
      <c r="B510" s="451"/>
      <c r="C510" s="451"/>
      <c r="D510" s="160" t="s">
        <v>1506</v>
      </c>
      <c r="E510" s="448"/>
      <c r="F510" s="127">
        <v>4.8499999999999996</v>
      </c>
      <c r="G510" s="448"/>
      <c r="H510" s="163" t="s">
        <v>37</v>
      </c>
      <c r="I510" s="93">
        <v>105.9</v>
      </c>
      <c r="J510" s="127">
        <v>0.79020000000000001</v>
      </c>
      <c r="K510" s="165">
        <v>6.1</v>
      </c>
      <c r="L510" s="448"/>
      <c r="M510" s="448"/>
      <c r="N510" s="601"/>
    </row>
    <row r="511" spans="1:14" ht="19.5" x14ac:dyDescent="0.25">
      <c r="A511" s="35"/>
      <c r="B511" s="431" t="s">
        <v>555</v>
      </c>
      <c r="C511" s="431"/>
      <c r="D511" s="431"/>
      <c r="E511" s="431"/>
      <c r="F511" s="130">
        <f>F509+F510</f>
        <v>34.1128</v>
      </c>
      <c r="G511" s="35"/>
      <c r="H511" s="35"/>
      <c r="I511" s="35"/>
      <c r="J511" s="130">
        <f>J509+J510</f>
        <v>2.6993999999999998</v>
      </c>
      <c r="K511" s="35"/>
      <c r="L511" s="35"/>
      <c r="M511" s="35"/>
      <c r="N511" s="35"/>
    </row>
    <row r="512" spans="1:14" ht="75" x14ac:dyDescent="0.25">
      <c r="A512" s="101">
        <v>205</v>
      </c>
      <c r="B512" s="103" t="s">
        <v>1507</v>
      </c>
      <c r="C512" s="103" t="s">
        <v>1508</v>
      </c>
      <c r="D512" s="160" t="s">
        <v>2227</v>
      </c>
      <c r="E512" s="107" t="s">
        <v>1486</v>
      </c>
      <c r="F512" s="127">
        <v>7.1849999999999996</v>
      </c>
      <c r="G512" s="101" t="s">
        <v>999</v>
      </c>
      <c r="H512" s="101" t="s">
        <v>1961</v>
      </c>
      <c r="I512" s="93">
        <v>17730</v>
      </c>
      <c r="J512" s="127">
        <v>0.39679999999999999</v>
      </c>
      <c r="K512" s="128">
        <v>18.100000000000001</v>
      </c>
      <c r="L512" s="128">
        <v>2022</v>
      </c>
      <c r="M512" s="128" t="s">
        <v>1299</v>
      </c>
      <c r="N512" s="101" t="s">
        <v>554</v>
      </c>
    </row>
    <row r="513" spans="1:14" ht="19.5" x14ac:dyDescent="0.25">
      <c r="A513" s="35"/>
      <c r="B513" s="431" t="s">
        <v>555</v>
      </c>
      <c r="C513" s="431"/>
      <c r="D513" s="431"/>
      <c r="E513" s="431"/>
      <c r="F513" s="130">
        <f>F512</f>
        <v>7.1849999999999996</v>
      </c>
      <c r="G513" s="35"/>
      <c r="H513" s="35"/>
      <c r="I513" s="35"/>
      <c r="J513" s="130">
        <f>J512</f>
        <v>0.39679999999999999</v>
      </c>
      <c r="K513" s="35"/>
      <c r="L513" s="35"/>
      <c r="M513" s="35"/>
      <c r="N513" s="35"/>
    </row>
    <row r="514" spans="1:14" ht="37.5" x14ac:dyDescent="0.25">
      <c r="A514" s="101">
        <v>206</v>
      </c>
      <c r="B514" s="103" t="s">
        <v>1516</v>
      </c>
      <c r="C514" s="103" t="s">
        <v>1509</v>
      </c>
      <c r="D514" s="160" t="s">
        <v>2227</v>
      </c>
      <c r="E514" s="107" t="s">
        <v>1031</v>
      </c>
      <c r="F514" s="127">
        <v>4.0724999999999998</v>
      </c>
      <c r="G514" s="101" t="s">
        <v>999</v>
      </c>
      <c r="H514" s="87" t="s">
        <v>1961</v>
      </c>
      <c r="I514" s="93">
        <v>68280</v>
      </c>
      <c r="J514" s="127">
        <v>1.0037</v>
      </c>
      <c r="K514" s="128">
        <v>4</v>
      </c>
      <c r="L514" s="128">
        <v>2022</v>
      </c>
      <c r="M514" s="128" t="s">
        <v>1299</v>
      </c>
      <c r="N514" s="101" t="s">
        <v>554</v>
      </c>
    </row>
    <row r="515" spans="1:14" ht="19.5" x14ac:dyDescent="0.25">
      <c r="A515" s="35"/>
      <c r="B515" s="431" t="s">
        <v>555</v>
      </c>
      <c r="C515" s="431"/>
      <c r="D515" s="431"/>
      <c r="E515" s="431"/>
      <c r="F515" s="130">
        <f>F514</f>
        <v>4.0724999999999998</v>
      </c>
      <c r="G515" s="35"/>
      <c r="H515" s="35"/>
      <c r="I515" s="35"/>
      <c r="J515" s="130">
        <f>J514</f>
        <v>1.0037</v>
      </c>
      <c r="K515" s="35"/>
      <c r="L515" s="35"/>
      <c r="M515" s="35"/>
      <c r="N515" s="35"/>
    </row>
    <row r="516" spans="1:14" ht="18.75" x14ac:dyDescent="0.25">
      <c r="A516" s="449">
        <v>207</v>
      </c>
      <c r="B516" s="450" t="s">
        <v>1515</v>
      </c>
      <c r="C516" s="450" t="s">
        <v>1517</v>
      </c>
      <c r="D516" s="160" t="s">
        <v>1519</v>
      </c>
      <c r="E516" s="447" t="s">
        <v>1991</v>
      </c>
      <c r="F516" s="127">
        <v>23.368300000000001</v>
      </c>
      <c r="G516" s="447" t="s">
        <v>999</v>
      </c>
      <c r="H516" s="87" t="s">
        <v>1961</v>
      </c>
      <c r="I516" s="161">
        <v>57700</v>
      </c>
      <c r="J516" s="162">
        <v>1.0025999999999999</v>
      </c>
      <c r="K516" s="128">
        <v>23.3</v>
      </c>
      <c r="L516" s="447">
        <v>2022</v>
      </c>
      <c r="M516" s="447" t="s">
        <v>1956</v>
      </c>
      <c r="N516" s="600" t="s">
        <v>554</v>
      </c>
    </row>
    <row r="517" spans="1:14" ht="18.75" x14ac:dyDescent="0.25">
      <c r="A517" s="433"/>
      <c r="B517" s="451"/>
      <c r="C517" s="451"/>
      <c r="D517" s="160" t="s">
        <v>2237</v>
      </c>
      <c r="E517" s="448"/>
      <c r="F517" s="127">
        <v>5.4249999999999998</v>
      </c>
      <c r="G517" s="448"/>
      <c r="H517" s="163" t="s">
        <v>37</v>
      </c>
      <c r="I517" s="93">
        <v>162.69999999999999</v>
      </c>
      <c r="J517" s="127">
        <v>0.84919999999999995</v>
      </c>
      <c r="K517" s="165">
        <v>6.4</v>
      </c>
      <c r="L517" s="448"/>
      <c r="M517" s="448"/>
      <c r="N517" s="601"/>
    </row>
    <row r="518" spans="1:14" ht="19.5" x14ac:dyDescent="0.25">
      <c r="A518" s="35"/>
      <c r="B518" s="431" t="s">
        <v>555</v>
      </c>
      <c r="C518" s="431"/>
      <c r="D518" s="431"/>
      <c r="E518" s="431"/>
      <c r="F518" s="130">
        <f>F516+F517</f>
        <v>28.793300000000002</v>
      </c>
      <c r="G518" s="35"/>
      <c r="H518" s="35"/>
      <c r="I518" s="35"/>
      <c r="J518" s="130">
        <f>J516+J517</f>
        <v>1.8517999999999999</v>
      </c>
      <c r="K518" s="35"/>
      <c r="L518" s="35"/>
      <c r="M518" s="35"/>
      <c r="N518" s="35"/>
    </row>
    <row r="519" spans="1:14" ht="37.5" x14ac:dyDescent="0.25">
      <c r="A519" s="101">
        <v>208</v>
      </c>
      <c r="B519" s="103" t="s">
        <v>1515</v>
      </c>
      <c r="C519" s="103" t="s">
        <v>1518</v>
      </c>
      <c r="D519" s="103" t="s">
        <v>1519</v>
      </c>
      <c r="E519" s="107" t="s">
        <v>1990</v>
      </c>
      <c r="F519" s="127">
        <v>10.126300000000001</v>
      </c>
      <c r="G519" s="101" t="s">
        <v>999</v>
      </c>
      <c r="H519" s="87" t="s">
        <v>1961</v>
      </c>
      <c r="I519" s="93">
        <v>39025</v>
      </c>
      <c r="J519" s="127">
        <v>0.61280000000000001</v>
      </c>
      <c r="K519" s="128">
        <v>16.5</v>
      </c>
      <c r="L519" s="128">
        <v>2022</v>
      </c>
      <c r="M519" s="335" t="s">
        <v>1956</v>
      </c>
      <c r="N519" s="101" t="s">
        <v>554</v>
      </c>
    </row>
    <row r="520" spans="1:14" ht="19.5" x14ac:dyDescent="0.25">
      <c r="A520" s="35"/>
      <c r="B520" s="431" t="s">
        <v>555</v>
      </c>
      <c r="C520" s="431"/>
      <c r="D520" s="431"/>
      <c r="E520" s="431"/>
      <c r="F520" s="130">
        <f>F519</f>
        <v>10.126300000000001</v>
      </c>
      <c r="G520" s="35"/>
      <c r="H520" s="35"/>
      <c r="I520" s="35"/>
      <c r="J520" s="130">
        <f>J519</f>
        <v>0.61280000000000001</v>
      </c>
      <c r="K520" s="35"/>
      <c r="L520" s="35"/>
      <c r="M520" s="35"/>
      <c r="N520" s="35"/>
    </row>
    <row r="521" spans="1:14" ht="18.75" x14ac:dyDescent="0.25">
      <c r="A521" s="449">
        <v>209</v>
      </c>
      <c r="B521" s="445" t="s">
        <v>1628</v>
      </c>
      <c r="C521" s="445" t="s">
        <v>1629</v>
      </c>
      <c r="D521" s="103" t="s">
        <v>1630</v>
      </c>
      <c r="E521" s="516" t="s">
        <v>1991</v>
      </c>
      <c r="F521" s="127">
        <v>1.1268</v>
      </c>
      <c r="G521" s="449" t="s">
        <v>999</v>
      </c>
      <c r="H521" s="87" t="s">
        <v>1961</v>
      </c>
      <c r="I521" s="93">
        <v>5027</v>
      </c>
      <c r="J521" s="127">
        <v>0.11609999999999999</v>
      </c>
      <c r="K521" s="128">
        <v>9.6999999999999993</v>
      </c>
      <c r="L521" s="447">
        <v>2022</v>
      </c>
      <c r="M521" s="447" t="s">
        <v>1299</v>
      </c>
      <c r="N521" s="449" t="s">
        <v>554</v>
      </c>
    </row>
    <row r="522" spans="1:14" ht="18.75" x14ac:dyDescent="0.25">
      <c r="A522" s="433"/>
      <c r="B522" s="446"/>
      <c r="C522" s="446"/>
      <c r="D522" s="134" t="s">
        <v>1631</v>
      </c>
      <c r="E522" s="517"/>
      <c r="F522" s="127">
        <v>5.25</v>
      </c>
      <c r="G522" s="433"/>
      <c r="H522" s="128" t="s">
        <v>1962</v>
      </c>
      <c r="I522" s="128" t="s">
        <v>1523</v>
      </c>
      <c r="J522" s="127">
        <v>0.95679999999999998</v>
      </c>
      <c r="K522" s="128">
        <v>5.5</v>
      </c>
      <c r="L522" s="448"/>
      <c r="M522" s="448"/>
      <c r="N522" s="433"/>
    </row>
    <row r="523" spans="1:14" ht="19.5" x14ac:dyDescent="0.25">
      <c r="A523" s="35"/>
      <c r="B523" s="431" t="s">
        <v>555</v>
      </c>
      <c r="C523" s="431"/>
      <c r="D523" s="431"/>
      <c r="E523" s="431"/>
      <c r="F523" s="130">
        <f>F521+F522</f>
        <v>6.3768000000000002</v>
      </c>
      <c r="G523" s="35"/>
      <c r="H523" s="35"/>
      <c r="I523" s="35"/>
      <c r="J523" s="130">
        <f>J521+J522</f>
        <v>1.0729</v>
      </c>
      <c r="K523" s="35"/>
      <c r="L523" s="35"/>
      <c r="M523" s="35"/>
      <c r="N523" s="35"/>
    </row>
    <row r="524" spans="1:14" ht="37.5" x14ac:dyDescent="0.25">
      <c r="A524" s="342">
        <v>210</v>
      </c>
      <c r="B524" s="103" t="s">
        <v>1632</v>
      </c>
      <c r="C524" s="103" t="s">
        <v>1634</v>
      </c>
      <c r="D524" s="103" t="s">
        <v>1519</v>
      </c>
      <c r="E524" s="128" t="s">
        <v>1991</v>
      </c>
      <c r="F524" s="127">
        <v>1.9372</v>
      </c>
      <c r="G524" s="101" t="s">
        <v>999</v>
      </c>
      <c r="H524" s="87" t="s">
        <v>1961</v>
      </c>
      <c r="I524" s="93">
        <v>15063</v>
      </c>
      <c r="J524" s="127">
        <v>0.31180400000000003</v>
      </c>
      <c r="K524" s="128">
        <v>1.6</v>
      </c>
      <c r="L524" s="128">
        <v>2022</v>
      </c>
      <c r="M524" s="128" t="s">
        <v>861</v>
      </c>
      <c r="N524" s="101" t="s">
        <v>554</v>
      </c>
    </row>
    <row r="525" spans="1:14" ht="19.5" x14ac:dyDescent="0.25">
      <c r="A525" s="35"/>
      <c r="B525" s="431" t="s">
        <v>555</v>
      </c>
      <c r="C525" s="431"/>
      <c r="D525" s="431"/>
      <c r="E525" s="431"/>
      <c r="F525" s="130">
        <f>F524</f>
        <v>1.9372</v>
      </c>
      <c r="G525" s="35"/>
      <c r="H525" s="35"/>
      <c r="I525" s="35"/>
      <c r="J525" s="130">
        <f>J524</f>
        <v>0.31180400000000003</v>
      </c>
      <c r="K525" s="35"/>
      <c r="L525" s="35"/>
      <c r="M525" s="35"/>
      <c r="N525" s="35"/>
    </row>
    <row r="526" spans="1:14" ht="37.5" x14ac:dyDescent="0.25">
      <c r="A526" s="342">
        <v>211</v>
      </c>
      <c r="B526" s="103" t="s">
        <v>1633</v>
      </c>
      <c r="C526" s="103" t="s">
        <v>1638</v>
      </c>
      <c r="D526" s="103" t="s">
        <v>1519</v>
      </c>
      <c r="E526" s="128" t="s">
        <v>1991</v>
      </c>
      <c r="F526" s="127">
        <v>1.4684999999999999</v>
      </c>
      <c r="G526" s="101" t="s">
        <v>999</v>
      </c>
      <c r="H526" s="87" t="s">
        <v>1961</v>
      </c>
      <c r="I526" s="93">
        <v>14087</v>
      </c>
      <c r="J526" s="127">
        <v>0.29160000000000003</v>
      </c>
      <c r="K526" s="128">
        <v>2</v>
      </c>
      <c r="L526" s="128">
        <v>2022</v>
      </c>
      <c r="M526" s="128" t="s">
        <v>861</v>
      </c>
      <c r="N526" s="101" t="s">
        <v>554</v>
      </c>
    </row>
    <row r="527" spans="1:14" ht="19.5" x14ac:dyDescent="0.25">
      <c r="A527" s="35"/>
      <c r="B527" s="431" t="s">
        <v>555</v>
      </c>
      <c r="C527" s="431"/>
      <c r="D527" s="431"/>
      <c r="E527" s="431"/>
      <c r="F527" s="130">
        <f>F526</f>
        <v>1.4684999999999999</v>
      </c>
      <c r="G527" s="35"/>
      <c r="H527" s="35"/>
      <c r="I527" s="35"/>
      <c r="J527" s="130">
        <f>J526</f>
        <v>0.29160000000000003</v>
      </c>
      <c r="K527" s="35"/>
      <c r="L527" s="35"/>
      <c r="M527" s="35"/>
      <c r="N527" s="35"/>
    </row>
    <row r="528" spans="1:14" ht="37.5" x14ac:dyDescent="0.25">
      <c r="A528" s="342">
        <v>212</v>
      </c>
      <c r="B528" s="103" t="s">
        <v>1639</v>
      </c>
      <c r="C528" s="103" t="s">
        <v>1637</v>
      </c>
      <c r="D528" s="103" t="s">
        <v>1519</v>
      </c>
      <c r="E528" s="128" t="s">
        <v>1991</v>
      </c>
      <c r="F528" s="127">
        <v>1.5992</v>
      </c>
      <c r="G528" s="101" t="s">
        <v>999</v>
      </c>
      <c r="H528" s="87" t="s">
        <v>1961</v>
      </c>
      <c r="I528" s="93">
        <v>29662</v>
      </c>
      <c r="J528" s="127">
        <v>0.61400299999999997</v>
      </c>
      <c r="K528" s="128">
        <v>3.8</v>
      </c>
      <c r="L528" s="128">
        <v>2022</v>
      </c>
      <c r="M528" s="128" t="s">
        <v>861</v>
      </c>
      <c r="N528" s="101" t="s">
        <v>554</v>
      </c>
    </row>
    <row r="529" spans="1:15" ht="19.5" x14ac:dyDescent="0.25">
      <c r="A529" s="35"/>
      <c r="B529" s="431" t="s">
        <v>555</v>
      </c>
      <c r="C529" s="431"/>
      <c r="D529" s="431"/>
      <c r="E529" s="431"/>
      <c r="F529" s="130">
        <f>F528</f>
        <v>1.5992</v>
      </c>
      <c r="G529" s="35"/>
      <c r="H529" s="35"/>
      <c r="I529" s="35"/>
      <c r="J529" s="130">
        <f>J528</f>
        <v>0.61400299999999997</v>
      </c>
      <c r="K529" s="35"/>
      <c r="L529" s="35"/>
      <c r="M529" s="35"/>
      <c r="N529" s="35"/>
    </row>
    <row r="530" spans="1:15" ht="75" x14ac:dyDescent="0.25">
      <c r="A530" s="342">
        <v>213</v>
      </c>
      <c r="B530" s="103" t="s">
        <v>1640</v>
      </c>
      <c r="C530" s="103" t="s">
        <v>1636</v>
      </c>
      <c r="D530" s="103" t="s">
        <v>1635</v>
      </c>
      <c r="E530" s="101" t="s">
        <v>1524</v>
      </c>
      <c r="F530" s="127">
        <v>54.02</v>
      </c>
      <c r="G530" s="101" t="s">
        <v>999</v>
      </c>
      <c r="H530" s="87" t="s">
        <v>1961</v>
      </c>
      <c r="I530" s="93">
        <v>551019</v>
      </c>
      <c r="J530" s="127">
        <v>9.6648700000000005</v>
      </c>
      <c r="K530" s="128">
        <v>5.6</v>
      </c>
      <c r="L530" s="128">
        <v>2022</v>
      </c>
      <c r="M530" s="128" t="s">
        <v>1107</v>
      </c>
      <c r="N530" s="101" t="s">
        <v>554</v>
      </c>
    </row>
    <row r="531" spans="1:15" ht="19.5" x14ac:dyDescent="0.25">
      <c r="A531" s="35"/>
      <c r="B531" s="431" t="s">
        <v>555</v>
      </c>
      <c r="C531" s="431"/>
      <c r="D531" s="431"/>
      <c r="E531" s="431"/>
      <c r="F531" s="130">
        <f>F530</f>
        <v>54.02</v>
      </c>
      <c r="G531" s="35"/>
      <c r="H531" s="35"/>
      <c r="I531" s="35"/>
      <c r="J531" s="130">
        <f>J530</f>
        <v>9.6648700000000005</v>
      </c>
      <c r="K531" s="35"/>
      <c r="L531" s="35"/>
      <c r="M531" s="35"/>
      <c r="N531" s="35"/>
    </row>
    <row r="532" spans="1:15" ht="20.25" x14ac:dyDescent="0.25">
      <c r="A532" s="159"/>
      <c r="B532" s="196" t="s">
        <v>1421</v>
      </c>
      <c r="C532" s="565"/>
      <c r="D532" s="566"/>
      <c r="E532" s="159"/>
      <c r="F532" s="164">
        <f>F462+F464+F466+F468+F470+F472+F474+F476+F478+F480+F482+F484+F486+F488+F492+F495+F497+F499+F501+F503+F505+F508+F511+F513+F515+F518+F520+F523+F525+F527+F529+F531</f>
        <v>425.01418000000001</v>
      </c>
      <c r="G532" s="159"/>
      <c r="H532" s="157"/>
      <c r="I532" s="157"/>
      <c r="J532" s="34">
        <f>J462+J464+J466+J468+J470+J472+J474+J476+J478+J480+J482+J484+J486+J488+J492+J495+J497+J499+J501+J503+J505+J508+J511+J513+J515+J518+J520+J523+J525+J527+J529+J531</f>
        <v>67.245023000000003</v>
      </c>
      <c r="K532" s="159"/>
      <c r="L532" s="159"/>
      <c r="M532" s="159"/>
      <c r="N532" s="159"/>
    </row>
    <row r="533" spans="1:15" ht="18.75" x14ac:dyDescent="0.25">
      <c r="A533" s="447">
        <v>214</v>
      </c>
      <c r="B533" s="559" t="s">
        <v>1992</v>
      </c>
      <c r="C533" s="512" t="s">
        <v>2117</v>
      </c>
      <c r="D533" s="234" t="s">
        <v>2020</v>
      </c>
      <c r="E533" s="447" t="s">
        <v>1992</v>
      </c>
      <c r="F533" s="304">
        <v>32.6</v>
      </c>
      <c r="G533" s="324" t="s">
        <v>1217</v>
      </c>
      <c r="H533" s="385" t="s">
        <v>1961</v>
      </c>
      <c r="I533" s="304">
        <v>371825</v>
      </c>
      <c r="J533" s="316">
        <v>9.1059999999999999</v>
      </c>
      <c r="K533" s="304">
        <v>3.6</v>
      </c>
      <c r="L533" s="304"/>
      <c r="M533" s="447" t="s">
        <v>861</v>
      </c>
      <c r="N533" s="447" t="s">
        <v>859</v>
      </c>
      <c r="O533" s="538"/>
    </row>
    <row r="534" spans="1:15" ht="18.75" x14ac:dyDescent="0.25">
      <c r="A534" s="491"/>
      <c r="B534" s="559"/>
      <c r="C534" s="512"/>
      <c r="D534" s="235" t="s">
        <v>2021</v>
      </c>
      <c r="E534" s="491"/>
      <c r="F534" s="304">
        <v>20.2</v>
      </c>
      <c r="G534" s="331"/>
      <c r="H534" s="385" t="s">
        <v>1961</v>
      </c>
      <c r="I534" s="304">
        <v>360168</v>
      </c>
      <c r="J534" s="316">
        <v>8.84</v>
      </c>
      <c r="K534" s="330">
        <v>2.2999999999999998</v>
      </c>
      <c r="L534" s="330"/>
      <c r="M534" s="491"/>
      <c r="N534" s="491"/>
      <c r="O534" s="540"/>
    </row>
    <row r="535" spans="1:15" ht="18.75" x14ac:dyDescent="0.25">
      <c r="A535" s="448"/>
      <c r="B535" s="559"/>
      <c r="C535" s="512"/>
      <c r="D535" s="235" t="s">
        <v>2022</v>
      </c>
      <c r="E535" s="448"/>
      <c r="F535" s="305">
        <v>18</v>
      </c>
      <c r="G535" s="165"/>
      <c r="H535" s="386" t="s">
        <v>1961</v>
      </c>
      <c r="I535" s="304">
        <v>259697</v>
      </c>
      <c r="J535" s="316">
        <v>6.36</v>
      </c>
      <c r="K535" s="304">
        <v>2.8</v>
      </c>
      <c r="L535" s="304"/>
      <c r="M535" s="448"/>
      <c r="N535" s="448"/>
      <c r="O535" s="539"/>
    </row>
    <row r="536" spans="1:15" ht="19.5" x14ac:dyDescent="0.25">
      <c r="A536" s="165"/>
      <c r="B536" s="431" t="s">
        <v>555</v>
      </c>
      <c r="C536" s="431"/>
      <c r="D536" s="431"/>
      <c r="E536" s="431"/>
      <c r="F536" s="387">
        <f>F533+F534+F535</f>
        <v>70.8</v>
      </c>
      <c r="G536" s="128"/>
      <c r="H536" s="388"/>
      <c r="I536" s="304"/>
      <c r="J536" s="389">
        <f>J533+J534+J535</f>
        <v>24.305999999999997</v>
      </c>
      <c r="K536" s="304"/>
      <c r="L536" s="304"/>
      <c r="M536" s="128"/>
      <c r="N536" s="128"/>
      <c r="O536" s="231"/>
    </row>
    <row r="537" spans="1:15" ht="18.75" x14ac:dyDescent="0.25">
      <c r="A537" s="128">
        <v>215</v>
      </c>
      <c r="B537" s="103" t="s">
        <v>1993</v>
      </c>
      <c r="C537" s="103" t="s">
        <v>2116</v>
      </c>
      <c r="D537" s="216" t="s">
        <v>2023</v>
      </c>
      <c r="E537" s="128" t="s">
        <v>1993</v>
      </c>
      <c r="F537" s="377">
        <v>5</v>
      </c>
      <c r="G537" s="324" t="s">
        <v>1217</v>
      </c>
      <c r="H537" s="385" t="s">
        <v>1961</v>
      </c>
      <c r="I537" s="304">
        <v>75900</v>
      </c>
      <c r="J537" s="316">
        <v>1.163</v>
      </c>
      <c r="K537" s="304">
        <v>4.3</v>
      </c>
      <c r="L537" s="304"/>
      <c r="M537" s="128" t="s">
        <v>1107</v>
      </c>
      <c r="N537" s="128" t="s">
        <v>859</v>
      </c>
      <c r="O537" s="231"/>
    </row>
    <row r="538" spans="1:15" ht="19.5" x14ac:dyDescent="0.25">
      <c r="A538" s="128"/>
      <c r="B538" s="431" t="s">
        <v>555</v>
      </c>
      <c r="C538" s="431"/>
      <c r="D538" s="431"/>
      <c r="E538" s="431"/>
      <c r="F538" s="390">
        <f>F537</f>
        <v>5</v>
      </c>
      <c r="G538" s="128"/>
      <c r="H538" s="385"/>
      <c r="I538" s="304"/>
      <c r="J538" s="389">
        <f>J537</f>
        <v>1.163</v>
      </c>
      <c r="K538" s="304"/>
      <c r="L538" s="304"/>
      <c r="M538" s="128"/>
      <c r="N538" s="128"/>
      <c r="O538" s="231"/>
    </row>
    <row r="539" spans="1:15" ht="18.75" x14ac:dyDescent="0.25">
      <c r="A539" s="128">
        <v>216</v>
      </c>
      <c r="B539" s="103" t="s">
        <v>1994</v>
      </c>
      <c r="C539" s="103" t="s">
        <v>2115</v>
      </c>
      <c r="D539" s="216" t="s">
        <v>2023</v>
      </c>
      <c r="E539" s="107" t="s">
        <v>1994</v>
      </c>
      <c r="F539" s="304">
        <v>65.92</v>
      </c>
      <c r="G539" s="324" t="s">
        <v>1217</v>
      </c>
      <c r="H539" s="385" t="s">
        <v>1961</v>
      </c>
      <c r="I539" s="304">
        <v>238431</v>
      </c>
      <c r="J539" s="316">
        <v>6</v>
      </c>
      <c r="K539" s="304">
        <v>10.9</v>
      </c>
      <c r="L539" s="304"/>
      <c r="M539" s="128" t="s">
        <v>861</v>
      </c>
      <c r="N539" s="128" t="s">
        <v>859</v>
      </c>
      <c r="O539" s="231"/>
    </row>
    <row r="540" spans="1:15" ht="19.5" x14ac:dyDescent="0.25">
      <c r="A540" s="128"/>
      <c r="B540" s="431" t="s">
        <v>555</v>
      </c>
      <c r="C540" s="431"/>
      <c r="D540" s="431"/>
      <c r="E540" s="431"/>
      <c r="F540" s="391">
        <f>F539</f>
        <v>65.92</v>
      </c>
      <c r="G540" s="128"/>
      <c r="H540" s="385"/>
      <c r="I540" s="304"/>
      <c r="J540" s="389">
        <f>J539</f>
        <v>6</v>
      </c>
      <c r="K540" s="304"/>
      <c r="L540" s="304"/>
      <c r="M540" s="128"/>
      <c r="N540" s="128"/>
      <c r="O540" s="231"/>
    </row>
    <row r="541" spans="1:15" ht="37.5" x14ac:dyDescent="0.25">
      <c r="A541" s="447">
        <v>217</v>
      </c>
      <c r="B541" s="445" t="s">
        <v>2024</v>
      </c>
      <c r="C541" s="444" t="s">
        <v>2026</v>
      </c>
      <c r="D541" s="216" t="s">
        <v>2034</v>
      </c>
      <c r="E541" s="447" t="s">
        <v>2024</v>
      </c>
      <c r="F541" s="304">
        <v>26.1</v>
      </c>
      <c r="G541" s="324" t="s">
        <v>1217</v>
      </c>
      <c r="H541" s="385" t="s">
        <v>1961</v>
      </c>
      <c r="I541" s="304">
        <v>284530</v>
      </c>
      <c r="J541" s="316">
        <v>6.07</v>
      </c>
      <c r="K541" s="304">
        <v>4.3</v>
      </c>
      <c r="L541" s="304"/>
      <c r="M541" s="447" t="s">
        <v>1951</v>
      </c>
      <c r="N541" s="447" t="s">
        <v>859</v>
      </c>
      <c r="O541" s="538"/>
    </row>
    <row r="542" spans="1:15" ht="37.5" x14ac:dyDescent="0.25">
      <c r="A542" s="491"/>
      <c r="B542" s="559"/>
      <c r="C542" s="444"/>
      <c r="D542" s="216" t="s">
        <v>2186</v>
      </c>
      <c r="E542" s="491"/>
      <c r="F542" s="304">
        <v>18.739999999999998</v>
      </c>
      <c r="G542" s="331"/>
      <c r="H542" s="385" t="s">
        <v>1961</v>
      </c>
      <c r="I542" s="304">
        <v>231469</v>
      </c>
      <c r="J542" s="316">
        <v>4.93</v>
      </c>
      <c r="K542" s="304">
        <v>3.8</v>
      </c>
      <c r="L542" s="304"/>
      <c r="M542" s="491"/>
      <c r="N542" s="491"/>
      <c r="O542" s="540"/>
    </row>
    <row r="543" spans="1:15" ht="18.75" x14ac:dyDescent="0.25">
      <c r="A543" s="448"/>
      <c r="B543" s="559"/>
      <c r="C543" s="444"/>
      <c r="D543" s="216" t="s">
        <v>569</v>
      </c>
      <c r="E543" s="448"/>
      <c r="F543" s="304">
        <v>22.46</v>
      </c>
      <c r="G543" s="165"/>
      <c r="H543" s="385" t="s">
        <v>1961</v>
      </c>
      <c r="I543" s="304">
        <v>263600</v>
      </c>
      <c r="J543" s="316">
        <v>5.62</v>
      </c>
      <c r="K543" s="304">
        <v>4</v>
      </c>
      <c r="L543" s="304"/>
      <c r="M543" s="448"/>
      <c r="N543" s="448"/>
      <c r="O543" s="540"/>
    </row>
    <row r="544" spans="1:15" ht="19.5" x14ac:dyDescent="0.25">
      <c r="A544" s="128"/>
      <c r="B544" s="431" t="s">
        <v>555</v>
      </c>
      <c r="C544" s="431"/>
      <c r="D544" s="431"/>
      <c r="E544" s="431"/>
      <c r="F544" s="391">
        <f>F541+F542+F543</f>
        <v>67.300000000000011</v>
      </c>
      <c r="G544" s="128"/>
      <c r="H544" s="385"/>
      <c r="I544" s="304"/>
      <c r="J544" s="389">
        <f>J541+J542+J543</f>
        <v>16.62</v>
      </c>
      <c r="K544" s="304"/>
      <c r="L544" s="304"/>
      <c r="M544" s="128"/>
      <c r="N544" s="128"/>
      <c r="O544" s="539"/>
    </row>
    <row r="545" spans="1:15" ht="18.75" x14ac:dyDescent="0.25">
      <c r="A545" s="447">
        <v>218</v>
      </c>
      <c r="B545" s="445" t="s">
        <v>1976</v>
      </c>
      <c r="C545" s="505" t="s">
        <v>2027</v>
      </c>
      <c r="D545" s="216" t="s">
        <v>2035</v>
      </c>
      <c r="E545" s="447" t="s">
        <v>1976</v>
      </c>
      <c r="F545" s="304">
        <v>14.15</v>
      </c>
      <c r="G545" s="324" t="s">
        <v>1217</v>
      </c>
      <c r="H545" s="385" t="s">
        <v>1961</v>
      </c>
      <c r="I545" s="304">
        <v>127755</v>
      </c>
      <c r="J545" s="316">
        <v>2.7229999999999999</v>
      </c>
      <c r="K545" s="304">
        <v>5.2</v>
      </c>
      <c r="L545" s="304"/>
      <c r="M545" s="447" t="s">
        <v>1951</v>
      </c>
      <c r="N545" s="447" t="s">
        <v>859</v>
      </c>
      <c r="O545" s="538"/>
    </row>
    <row r="546" spans="1:15" ht="37.5" customHeight="1" x14ac:dyDescent="0.25">
      <c r="A546" s="448"/>
      <c r="B546" s="446"/>
      <c r="C546" s="506"/>
      <c r="D546" s="216" t="s">
        <v>2187</v>
      </c>
      <c r="E546" s="448"/>
      <c r="F546" s="304">
        <v>0.50900000000000001</v>
      </c>
      <c r="G546" s="165"/>
      <c r="H546" s="385" t="s">
        <v>1961</v>
      </c>
      <c r="I546" s="304">
        <v>13276</v>
      </c>
      <c r="J546" s="316">
        <v>2.83</v>
      </c>
      <c r="K546" s="304">
        <v>1.8</v>
      </c>
      <c r="L546" s="304"/>
      <c r="M546" s="448"/>
      <c r="N546" s="448"/>
      <c r="O546" s="539"/>
    </row>
    <row r="547" spans="1:15" ht="19.5" x14ac:dyDescent="0.25">
      <c r="A547" s="165"/>
      <c r="B547" s="431" t="s">
        <v>555</v>
      </c>
      <c r="C547" s="431"/>
      <c r="D547" s="431"/>
      <c r="E547" s="431"/>
      <c r="F547" s="391">
        <f>F545+F546</f>
        <v>14.659000000000001</v>
      </c>
      <c r="G547" s="128"/>
      <c r="H547" s="385"/>
      <c r="I547" s="304"/>
      <c r="J547" s="389">
        <f>J545+J546</f>
        <v>5.5529999999999999</v>
      </c>
      <c r="K547" s="304"/>
      <c r="L547" s="304"/>
      <c r="M547" s="128"/>
      <c r="N547" s="128"/>
      <c r="O547" s="231"/>
    </row>
    <row r="548" spans="1:15" ht="37.5" x14ac:dyDescent="0.25">
      <c r="A548" s="128">
        <v>219</v>
      </c>
      <c r="B548" s="103" t="s">
        <v>1995</v>
      </c>
      <c r="C548" s="103" t="s">
        <v>2114</v>
      </c>
      <c r="D548" s="216" t="s">
        <v>2154</v>
      </c>
      <c r="E548" s="107" t="s">
        <v>1995</v>
      </c>
      <c r="F548" s="304">
        <v>3.7770000000000001</v>
      </c>
      <c r="G548" s="324" t="s">
        <v>1217</v>
      </c>
      <c r="H548" s="385" t="s">
        <v>1961</v>
      </c>
      <c r="I548" s="304">
        <v>105789</v>
      </c>
      <c r="J548" s="316">
        <v>2.1800000000000002</v>
      </c>
      <c r="K548" s="304">
        <v>1.5</v>
      </c>
      <c r="L548" s="304"/>
      <c r="M548" s="293" t="s">
        <v>864</v>
      </c>
      <c r="N548" s="128" t="s">
        <v>859</v>
      </c>
      <c r="O548" s="231"/>
    </row>
    <row r="549" spans="1:15" ht="19.5" x14ac:dyDescent="0.25">
      <c r="A549" s="128"/>
      <c r="B549" s="431" t="s">
        <v>555</v>
      </c>
      <c r="C549" s="431"/>
      <c r="D549" s="431"/>
      <c r="E549" s="431"/>
      <c r="F549" s="391">
        <f>F548</f>
        <v>3.7770000000000001</v>
      </c>
      <c r="G549" s="128"/>
      <c r="H549" s="385"/>
      <c r="I549" s="304"/>
      <c r="J549" s="389">
        <f>J548</f>
        <v>2.1800000000000002</v>
      </c>
      <c r="K549" s="304"/>
      <c r="L549" s="304"/>
      <c r="M549" s="128"/>
      <c r="N549" s="128"/>
      <c r="O549" s="231"/>
    </row>
    <row r="550" spans="1:15" ht="18.75" x14ac:dyDescent="0.25">
      <c r="A550" s="128">
        <v>220</v>
      </c>
      <c r="B550" s="103" t="s">
        <v>1996</v>
      </c>
      <c r="C550" s="103" t="s">
        <v>2113</v>
      </c>
      <c r="D550" s="216" t="s">
        <v>2155</v>
      </c>
      <c r="E550" s="128" t="s">
        <v>1996</v>
      </c>
      <c r="F550" s="304">
        <v>1.61</v>
      </c>
      <c r="G550" s="324" t="s">
        <v>1217</v>
      </c>
      <c r="H550" s="385" t="s">
        <v>1961</v>
      </c>
      <c r="I550" s="304">
        <v>17929</v>
      </c>
      <c r="J550" s="316">
        <v>0.50900000000000001</v>
      </c>
      <c r="K550" s="304">
        <v>3.6</v>
      </c>
      <c r="L550" s="304"/>
      <c r="M550" s="128" t="s">
        <v>1299</v>
      </c>
      <c r="N550" s="128" t="s">
        <v>859</v>
      </c>
      <c r="O550" s="231"/>
    </row>
    <row r="551" spans="1:15" ht="19.5" x14ac:dyDescent="0.25">
      <c r="A551" s="128"/>
      <c r="B551" s="431" t="s">
        <v>555</v>
      </c>
      <c r="C551" s="431"/>
      <c r="D551" s="431"/>
      <c r="E551" s="431"/>
      <c r="F551" s="391">
        <f>F550</f>
        <v>1.61</v>
      </c>
      <c r="G551" s="128"/>
      <c r="H551" s="385"/>
      <c r="I551" s="304"/>
      <c r="J551" s="389">
        <f>J550</f>
        <v>0.50900000000000001</v>
      </c>
      <c r="K551" s="304"/>
      <c r="L551" s="304"/>
      <c r="M551" s="128"/>
      <c r="N551" s="128"/>
      <c r="O551" s="231"/>
    </row>
    <row r="552" spans="1:15" ht="37.5" x14ac:dyDescent="0.25">
      <c r="A552" s="447">
        <v>221</v>
      </c>
      <c r="B552" s="445" t="s">
        <v>2173</v>
      </c>
      <c r="C552" s="505" t="s">
        <v>2175</v>
      </c>
      <c r="D552" s="216" t="s">
        <v>2228</v>
      </c>
      <c r="E552" s="447" t="s">
        <v>2173</v>
      </c>
      <c r="F552" s="304">
        <v>2.8079999999999998</v>
      </c>
      <c r="G552" s="324" t="s">
        <v>1217</v>
      </c>
      <c r="H552" s="385" t="s">
        <v>1961</v>
      </c>
      <c r="I552" s="304">
        <v>39130</v>
      </c>
      <c r="J552" s="316">
        <v>1.17</v>
      </c>
      <c r="K552" s="304">
        <v>2.4</v>
      </c>
      <c r="L552" s="304"/>
      <c r="M552" s="447" t="s">
        <v>1106</v>
      </c>
      <c r="N552" s="447" t="s">
        <v>859</v>
      </c>
      <c r="O552" s="538"/>
    </row>
    <row r="553" spans="1:15" ht="18.75" x14ac:dyDescent="0.25">
      <c r="A553" s="491"/>
      <c r="B553" s="559"/>
      <c r="C553" s="511"/>
      <c r="D553" s="216" t="s">
        <v>2188</v>
      </c>
      <c r="E553" s="491"/>
      <c r="F553" s="304">
        <v>12.342000000000001</v>
      </c>
      <c r="G553" s="331"/>
      <c r="H553" s="385" t="s">
        <v>1961</v>
      </c>
      <c r="I553" s="304">
        <v>84237</v>
      </c>
      <c r="J553" s="316">
        <v>2.5190000000000001</v>
      </c>
      <c r="K553" s="304">
        <v>4.9000000000000004</v>
      </c>
      <c r="L553" s="304"/>
      <c r="M553" s="491"/>
      <c r="N553" s="491"/>
      <c r="O553" s="540"/>
    </row>
    <row r="554" spans="1:15" ht="18.75" x14ac:dyDescent="0.25">
      <c r="A554" s="491"/>
      <c r="B554" s="559"/>
      <c r="C554" s="511"/>
      <c r="D554" s="216" t="s">
        <v>2189</v>
      </c>
      <c r="E554" s="491"/>
      <c r="F554" s="304">
        <v>1.514</v>
      </c>
      <c r="G554" s="331"/>
      <c r="H554" s="385" t="s">
        <v>1961</v>
      </c>
      <c r="I554" s="304">
        <v>29785</v>
      </c>
      <c r="J554" s="316">
        <v>0.89100000000000001</v>
      </c>
      <c r="K554" s="304">
        <v>1.7</v>
      </c>
      <c r="L554" s="304"/>
      <c r="M554" s="491"/>
      <c r="N554" s="491"/>
      <c r="O554" s="540"/>
    </row>
    <row r="555" spans="1:15" ht="18.75" x14ac:dyDescent="0.25">
      <c r="A555" s="448"/>
      <c r="B555" s="446"/>
      <c r="C555" s="506"/>
      <c r="D555" s="216" t="s">
        <v>2190</v>
      </c>
      <c r="E555" s="448"/>
      <c r="F555" s="304">
        <v>1.155</v>
      </c>
      <c r="G555" s="165"/>
      <c r="H555" s="385" t="s">
        <v>1961</v>
      </c>
      <c r="I555" s="304">
        <v>27591</v>
      </c>
      <c r="J555" s="316">
        <v>0.82499999999999996</v>
      </c>
      <c r="K555" s="304">
        <v>1.4</v>
      </c>
      <c r="L555" s="304"/>
      <c r="M555" s="448"/>
      <c r="N555" s="448"/>
      <c r="O555" s="539"/>
    </row>
    <row r="556" spans="1:15" ht="19.5" x14ac:dyDescent="0.25">
      <c r="A556" s="128"/>
      <c r="B556" s="431" t="s">
        <v>555</v>
      </c>
      <c r="C556" s="431"/>
      <c r="D556" s="431"/>
      <c r="E556" s="431"/>
      <c r="F556" s="341">
        <f>F552+F553+F554+F555</f>
        <v>17.819000000000003</v>
      </c>
      <c r="G556" s="128"/>
      <c r="H556" s="392"/>
      <c r="I556" s="128"/>
      <c r="J556" s="245">
        <f>J552+J553+J554+J555</f>
        <v>5.4050000000000002</v>
      </c>
      <c r="K556" s="128"/>
      <c r="L556" s="128"/>
      <c r="M556" s="128"/>
      <c r="N556" s="128"/>
      <c r="O556" s="231"/>
    </row>
    <row r="557" spans="1:15" ht="18.75" x14ac:dyDescent="0.25">
      <c r="A557" s="447">
        <v>222</v>
      </c>
      <c r="B557" s="445" t="s">
        <v>2185</v>
      </c>
      <c r="C557" s="505" t="s">
        <v>2177</v>
      </c>
      <c r="D557" s="216" t="s">
        <v>2181</v>
      </c>
      <c r="E557" s="447" t="s">
        <v>2185</v>
      </c>
      <c r="F557" s="304">
        <v>0.129</v>
      </c>
      <c r="G557" s="324" t="s">
        <v>1217</v>
      </c>
      <c r="H557" s="385" t="s">
        <v>1961</v>
      </c>
      <c r="I557" s="304">
        <v>3142</v>
      </c>
      <c r="J557" s="316">
        <v>9.1999999999999998E-2</v>
      </c>
      <c r="K557" s="304">
        <v>1.4</v>
      </c>
      <c r="L557" s="304"/>
      <c r="M557" s="447" t="s">
        <v>1956</v>
      </c>
      <c r="N557" s="447" t="s">
        <v>859</v>
      </c>
      <c r="O557" s="538"/>
    </row>
    <row r="558" spans="1:15" ht="18.75" customHeight="1" x14ac:dyDescent="0.25">
      <c r="A558" s="448"/>
      <c r="B558" s="446"/>
      <c r="C558" s="506"/>
      <c r="D558" s="216" t="s">
        <v>2191</v>
      </c>
      <c r="E558" s="448"/>
      <c r="F558" s="304">
        <v>4.6900000000000004</v>
      </c>
      <c r="G558" s="165"/>
      <c r="H558" s="385" t="s">
        <v>1961</v>
      </c>
      <c r="I558" s="304">
        <v>146014</v>
      </c>
      <c r="J558" s="316">
        <v>4.2629999999999999</v>
      </c>
      <c r="K558" s="304">
        <v>1.1000000000000001</v>
      </c>
      <c r="L558" s="304"/>
      <c r="M558" s="491"/>
      <c r="N558" s="491"/>
      <c r="O558" s="540"/>
    </row>
    <row r="559" spans="1:15" ht="19.5" x14ac:dyDescent="0.25">
      <c r="A559" s="128"/>
      <c r="B559" s="431" t="s">
        <v>555</v>
      </c>
      <c r="C559" s="431"/>
      <c r="D559" s="431"/>
      <c r="E559" s="431"/>
      <c r="F559" s="341">
        <f>F557+F558</f>
        <v>4.8190000000000008</v>
      </c>
      <c r="G559" s="128"/>
      <c r="H559" s="392"/>
      <c r="I559" s="128"/>
      <c r="J559" s="245">
        <f>J557+J558</f>
        <v>4.3549999999999995</v>
      </c>
      <c r="K559" s="128"/>
      <c r="L559" s="128"/>
      <c r="M559" s="491"/>
      <c r="N559" s="491"/>
      <c r="O559" s="540"/>
    </row>
    <row r="560" spans="1:15" ht="37.5" x14ac:dyDescent="0.25">
      <c r="A560" s="447">
        <v>223</v>
      </c>
      <c r="B560" s="445" t="s">
        <v>2103</v>
      </c>
      <c r="C560" s="505" t="s">
        <v>2112</v>
      </c>
      <c r="D560" s="216" t="s">
        <v>2156</v>
      </c>
      <c r="E560" s="447" t="s">
        <v>1997</v>
      </c>
      <c r="F560" s="304">
        <v>0.85499999999999998</v>
      </c>
      <c r="G560" s="324" t="s">
        <v>1217</v>
      </c>
      <c r="H560" s="385" t="s">
        <v>1961</v>
      </c>
      <c r="I560" s="304">
        <v>6705</v>
      </c>
      <c r="J560" s="316">
        <v>0.17100000000000001</v>
      </c>
      <c r="K560" s="304">
        <v>5</v>
      </c>
      <c r="L560" s="304"/>
      <c r="M560" s="491"/>
      <c r="N560" s="491"/>
      <c r="O560" s="540"/>
    </row>
    <row r="561" spans="1:15" ht="18.75" customHeight="1" x14ac:dyDescent="0.25">
      <c r="A561" s="448"/>
      <c r="B561" s="446"/>
      <c r="C561" s="506"/>
      <c r="D561" s="216" t="s">
        <v>2192</v>
      </c>
      <c r="E561" s="448"/>
      <c r="F561" s="304">
        <v>1.663</v>
      </c>
      <c r="G561" s="165"/>
      <c r="H561" s="385" t="s">
        <v>1961</v>
      </c>
      <c r="I561" s="304">
        <v>15906</v>
      </c>
      <c r="J561" s="316">
        <v>0.40600000000000003</v>
      </c>
      <c r="K561" s="304">
        <v>4.0999999999999996</v>
      </c>
      <c r="L561" s="304"/>
      <c r="M561" s="448"/>
      <c r="N561" s="448"/>
      <c r="O561" s="539"/>
    </row>
    <row r="562" spans="1:15" ht="19.5" x14ac:dyDescent="0.25">
      <c r="A562" s="128"/>
      <c r="B562" s="431" t="s">
        <v>555</v>
      </c>
      <c r="C562" s="431"/>
      <c r="D562" s="431"/>
      <c r="E562" s="431"/>
      <c r="F562" s="341">
        <f>F560+F561</f>
        <v>2.5179999999999998</v>
      </c>
      <c r="G562" s="128"/>
      <c r="H562" s="342"/>
      <c r="I562" s="128"/>
      <c r="J562" s="245">
        <f>J560+J561</f>
        <v>0.57700000000000007</v>
      </c>
      <c r="K562" s="128"/>
      <c r="L562" s="128"/>
      <c r="M562" s="128"/>
      <c r="N562" s="128"/>
      <c r="O562" s="231"/>
    </row>
    <row r="563" spans="1:15" ht="37.5" x14ac:dyDescent="0.25">
      <c r="A563" s="128">
        <v>224</v>
      </c>
      <c r="B563" s="103" t="s">
        <v>1998</v>
      </c>
      <c r="C563" s="120" t="s">
        <v>2068</v>
      </c>
      <c r="D563" s="216" t="s">
        <v>2081</v>
      </c>
      <c r="E563" s="128" t="s">
        <v>1998</v>
      </c>
      <c r="F563" s="304">
        <v>432.18700000000001</v>
      </c>
      <c r="G563" s="324" t="s">
        <v>1217</v>
      </c>
      <c r="H563" s="385" t="s">
        <v>1961</v>
      </c>
      <c r="I563" s="304">
        <v>4258003</v>
      </c>
      <c r="J563" s="316">
        <v>123.482</v>
      </c>
      <c r="K563" s="304">
        <v>3.5</v>
      </c>
      <c r="L563" s="304"/>
      <c r="M563" s="128" t="s">
        <v>1952</v>
      </c>
      <c r="N563" s="128" t="s">
        <v>859</v>
      </c>
      <c r="O563" s="231"/>
    </row>
    <row r="564" spans="1:15" ht="19.5" x14ac:dyDescent="0.25">
      <c r="A564" s="128"/>
      <c r="B564" s="431" t="s">
        <v>555</v>
      </c>
      <c r="C564" s="431"/>
      <c r="D564" s="431"/>
      <c r="E564" s="431"/>
      <c r="F564" s="341">
        <f>F563</f>
        <v>432.18700000000001</v>
      </c>
      <c r="G564" s="128"/>
      <c r="H564" s="215"/>
      <c r="I564" s="215"/>
      <c r="J564" s="393">
        <f>J563</f>
        <v>123.482</v>
      </c>
      <c r="K564" s="215"/>
      <c r="L564" s="215"/>
      <c r="M564" s="128"/>
      <c r="N564" s="128"/>
      <c r="O564" s="231"/>
    </row>
    <row r="565" spans="1:15" ht="37.5" x14ac:dyDescent="0.25">
      <c r="A565" s="128">
        <v>225</v>
      </c>
      <c r="B565" s="103" t="s">
        <v>1998</v>
      </c>
      <c r="C565" s="120" t="s">
        <v>2069</v>
      </c>
      <c r="D565" s="216" t="s">
        <v>2081</v>
      </c>
      <c r="E565" s="128" t="s">
        <v>1998</v>
      </c>
      <c r="F565" s="304">
        <v>233.75200000000001</v>
      </c>
      <c r="G565" s="324" t="s">
        <v>1217</v>
      </c>
      <c r="H565" s="385" t="s">
        <v>1961</v>
      </c>
      <c r="I565" s="304">
        <v>3210880</v>
      </c>
      <c r="J565" s="316">
        <v>83.483000000000004</v>
      </c>
      <c r="K565" s="304">
        <v>2.8</v>
      </c>
      <c r="L565" s="304"/>
      <c r="M565" s="128" t="s">
        <v>1954</v>
      </c>
      <c r="N565" s="101" t="s">
        <v>859</v>
      </c>
      <c r="O565" s="231"/>
    </row>
    <row r="566" spans="1:15" ht="19.5" x14ac:dyDescent="0.25">
      <c r="A566" s="128"/>
      <c r="B566" s="431" t="s">
        <v>555</v>
      </c>
      <c r="C566" s="431"/>
      <c r="D566" s="431"/>
      <c r="E566" s="431"/>
      <c r="F566" s="391">
        <f>F565</f>
        <v>233.75200000000001</v>
      </c>
      <c r="G566" s="128"/>
      <c r="H566" s="385"/>
      <c r="I566" s="304"/>
      <c r="J566" s="389">
        <f>J565</f>
        <v>83.483000000000004</v>
      </c>
      <c r="K566" s="304"/>
      <c r="L566" s="304"/>
      <c r="M566" s="128"/>
      <c r="N566" s="128"/>
      <c r="O566" s="231"/>
    </row>
    <row r="567" spans="1:15" ht="18.75" x14ac:dyDescent="0.25">
      <c r="A567" s="128">
        <v>226</v>
      </c>
      <c r="B567" s="103" t="s">
        <v>2083</v>
      </c>
      <c r="C567" s="103" t="s">
        <v>2086</v>
      </c>
      <c r="D567" s="216" t="s">
        <v>971</v>
      </c>
      <c r="E567" s="82" t="s">
        <v>2101</v>
      </c>
      <c r="F567" s="304">
        <v>13.316000000000001</v>
      </c>
      <c r="G567" s="324" t="s">
        <v>1217</v>
      </c>
      <c r="H567" s="394" t="s">
        <v>37</v>
      </c>
      <c r="I567" s="304">
        <v>168.57</v>
      </c>
      <c r="J567" s="316">
        <v>0.95099999999999996</v>
      </c>
      <c r="K567" s="304">
        <v>14</v>
      </c>
      <c r="L567" s="304"/>
      <c r="M567" s="128" t="s">
        <v>1208</v>
      </c>
      <c r="N567" s="128" t="s">
        <v>859</v>
      </c>
      <c r="O567" s="231"/>
    </row>
    <row r="568" spans="1:15" ht="19.5" x14ac:dyDescent="0.25">
      <c r="A568" s="128"/>
      <c r="B568" s="431" t="s">
        <v>555</v>
      </c>
      <c r="C568" s="431"/>
      <c r="D568" s="431"/>
      <c r="E568" s="431"/>
      <c r="F568" s="341">
        <f>F567</f>
        <v>13.316000000000001</v>
      </c>
      <c r="G568" s="128"/>
      <c r="H568" s="342"/>
      <c r="I568" s="128"/>
      <c r="J568" s="245">
        <f>J567</f>
        <v>0.95099999999999996</v>
      </c>
      <c r="K568" s="128"/>
      <c r="L568" s="128"/>
      <c r="M568" s="128"/>
      <c r="N568" s="128"/>
      <c r="O568" s="231"/>
    </row>
    <row r="569" spans="1:15" ht="18.75" x14ac:dyDescent="0.25">
      <c r="A569" s="401">
        <v>227</v>
      </c>
      <c r="B569" s="103" t="s">
        <v>2083</v>
      </c>
      <c r="C569" s="103" t="s">
        <v>2086</v>
      </c>
      <c r="D569" s="216" t="s">
        <v>2095</v>
      </c>
      <c r="E569" s="82" t="s">
        <v>2101</v>
      </c>
      <c r="F569" s="304">
        <v>3.5070000000000001</v>
      </c>
      <c r="G569" s="324" t="s">
        <v>1217</v>
      </c>
      <c r="H569" s="385" t="s">
        <v>1961</v>
      </c>
      <c r="I569" s="304">
        <v>13580</v>
      </c>
      <c r="J569" s="316">
        <v>0.35</v>
      </c>
      <c r="K569" s="304">
        <v>10</v>
      </c>
      <c r="L569" s="304"/>
      <c r="M569" s="128" t="s">
        <v>1208</v>
      </c>
      <c r="N569" s="128" t="s">
        <v>859</v>
      </c>
      <c r="O569" s="231"/>
    </row>
    <row r="570" spans="1:15" ht="19.5" x14ac:dyDescent="0.25">
      <c r="A570" s="128"/>
      <c r="B570" s="431" t="s">
        <v>555</v>
      </c>
      <c r="C570" s="431"/>
      <c r="D570" s="431"/>
      <c r="E570" s="431"/>
      <c r="F570" s="341">
        <f>F569</f>
        <v>3.5070000000000001</v>
      </c>
      <c r="G570" s="128"/>
      <c r="H570" s="392"/>
      <c r="I570" s="128"/>
      <c r="J570" s="245">
        <f>J569</f>
        <v>0.35</v>
      </c>
      <c r="K570" s="128"/>
      <c r="L570" s="128"/>
      <c r="M570" s="128"/>
      <c r="N570" s="128"/>
      <c r="O570" s="231"/>
    </row>
    <row r="571" spans="1:15" ht="37.5" x14ac:dyDescent="0.25">
      <c r="A571" s="447">
        <v>228</v>
      </c>
      <c r="B571" s="445" t="s">
        <v>2104</v>
      </c>
      <c r="C571" s="505" t="s">
        <v>2111</v>
      </c>
      <c r="D571" s="216" t="s">
        <v>2157</v>
      </c>
      <c r="E571" s="449" t="s">
        <v>2110</v>
      </c>
      <c r="F571" s="304">
        <v>0.41799999999999998</v>
      </c>
      <c r="G571" s="324" t="s">
        <v>1217</v>
      </c>
      <c r="H571" s="385" t="s">
        <v>1961</v>
      </c>
      <c r="I571" s="304">
        <v>7432</v>
      </c>
      <c r="J571" s="316">
        <v>0.22</v>
      </c>
      <c r="K571" s="304">
        <v>1.9</v>
      </c>
      <c r="L571" s="304"/>
      <c r="M571" s="447" t="s">
        <v>1950</v>
      </c>
      <c r="N571" s="447" t="s">
        <v>859</v>
      </c>
      <c r="O571" s="538"/>
    </row>
    <row r="572" spans="1:15" ht="37.5" customHeight="1" x14ac:dyDescent="0.25">
      <c r="A572" s="448"/>
      <c r="B572" s="446"/>
      <c r="C572" s="506"/>
      <c r="D572" s="242" t="s">
        <v>2193</v>
      </c>
      <c r="E572" s="433"/>
      <c r="F572" s="304">
        <v>0.96499999999999997</v>
      </c>
      <c r="G572" s="165"/>
      <c r="H572" s="385" t="s">
        <v>1961</v>
      </c>
      <c r="I572" s="304">
        <v>6653</v>
      </c>
      <c r="J572" s="316">
        <v>0.1963</v>
      </c>
      <c r="K572" s="304">
        <v>4.9000000000000004</v>
      </c>
      <c r="L572" s="304"/>
      <c r="M572" s="448"/>
      <c r="N572" s="448"/>
      <c r="O572" s="539"/>
    </row>
    <row r="573" spans="1:15" ht="19.5" x14ac:dyDescent="0.25">
      <c r="A573" s="128"/>
      <c r="B573" s="431" t="s">
        <v>555</v>
      </c>
      <c r="C573" s="431"/>
      <c r="D573" s="431"/>
      <c r="E573" s="431"/>
      <c r="F573" s="341">
        <f>F571+F572</f>
        <v>1.383</v>
      </c>
      <c r="G573" s="128"/>
      <c r="H573" s="392"/>
      <c r="I573" s="128"/>
      <c r="J573" s="389">
        <f>J571+J572</f>
        <v>0.4163</v>
      </c>
      <c r="K573" s="128"/>
      <c r="L573" s="128"/>
      <c r="M573" s="128"/>
      <c r="N573" s="128"/>
      <c r="O573" s="231"/>
    </row>
    <row r="574" spans="1:15" ht="37.5" x14ac:dyDescent="0.25">
      <c r="A574" s="447">
        <v>229</v>
      </c>
      <c r="B574" s="430" t="s">
        <v>1977</v>
      </c>
      <c r="C574" s="444" t="s">
        <v>2028</v>
      </c>
      <c r="D574" s="216" t="s">
        <v>2036</v>
      </c>
      <c r="E574" s="449" t="s">
        <v>1977</v>
      </c>
      <c r="F574" s="304">
        <v>3.552</v>
      </c>
      <c r="G574" s="324" t="s">
        <v>1217</v>
      </c>
      <c r="H574" s="385" t="s">
        <v>1961</v>
      </c>
      <c r="I574" s="304">
        <v>28571</v>
      </c>
      <c r="J574" s="316">
        <v>0.84599999999999997</v>
      </c>
      <c r="K574" s="304">
        <v>4.2</v>
      </c>
      <c r="L574" s="304"/>
      <c r="M574" s="447" t="s">
        <v>1950</v>
      </c>
      <c r="N574" s="447" t="s">
        <v>859</v>
      </c>
      <c r="O574" s="538"/>
    </row>
    <row r="575" spans="1:15" ht="37.5" x14ac:dyDescent="0.25">
      <c r="A575" s="491"/>
      <c r="B575" s="430"/>
      <c r="C575" s="444"/>
      <c r="D575" s="216" t="s">
        <v>2194</v>
      </c>
      <c r="E575" s="490"/>
      <c r="F575" s="304">
        <v>0.32300000000000001</v>
      </c>
      <c r="G575" s="331"/>
      <c r="H575" s="385" t="s">
        <v>1961</v>
      </c>
      <c r="I575" s="304">
        <v>3520</v>
      </c>
      <c r="J575" s="316">
        <v>0.104</v>
      </c>
      <c r="K575" s="304">
        <v>3.1</v>
      </c>
      <c r="L575" s="304"/>
      <c r="M575" s="491"/>
      <c r="N575" s="491"/>
      <c r="O575" s="540"/>
    </row>
    <row r="576" spans="1:15" ht="37.5" x14ac:dyDescent="0.25">
      <c r="A576" s="448"/>
      <c r="B576" s="430"/>
      <c r="C576" s="444"/>
      <c r="D576" s="216" t="s">
        <v>2195</v>
      </c>
      <c r="E576" s="433"/>
      <c r="F576" s="304">
        <v>0.26700000000000002</v>
      </c>
      <c r="G576" s="165"/>
      <c r="H576" s="385" t="s">
        <v>1961</v>
      </c>
      <c r="I576" s="304">
        <v>3110</v>
      </c>
      <c r="J576" s="395">
        <v>0.92100000000000004</v>
      </c>
      <c r="K576" s="304">
        <v>2.9</v>
      </c>
      <c r="L576" s="304"/>
      <c r="M576" s="448"/>
      <c r="N576" s="448"/>
      <c r="O576" s="539"/>
    </row>
    <row r="577" spans="1:15" ht="19.5" x14ac:dyDescent="0.25">
      <c r="A577" s="128"/>
      <c r="B577" s="431" t="s">
        <v>555</v>
      </c>
      <c r="C577" s="431"/>
      <c r="D577" s="431"/>
      <c r="E577" s="431"/>
      <c r="F577" s="391">
        <f>F574+F575+F576</f>
        <v>4.1420000000000003</v>
      </c>
      <c r="G577" s="128"/>
      <c r="H577" s="385"/>
      <c r="I577" s="304"/>
      <c r="J577" s="389">
        <f>J574+J575+J576</f>
        <v>1.871</v>
      </c>
      <c r="K577" s="304"/>
      <c r="L577" s="304"/>
      <c r="M577" s="128"/>
      <c r="N577" s="128"/>
      <c r="O577" s="231"/>
    </row>
    <row r="578" spans="1:15" ht="18.75" x14ac:dyDescent="0.25">
      <c r="A578" s="128">
        <v>230</v>
      </c>
      <c r="B578" s="103" t="s">
        <v>2084</v>
      </c>
      <c r="C578" s="120" t="s">
        <v>2087</v>
      </c>
      <c r="D578" s="216" t="s">
        <v>2096</v>
      </c>
      <c r="E578" s="128" t="s">
        <v>2084</v>
      </c>
      <c r="F578" s="304">
        <v>0.48499999999999999</v>
      </c>
      <c r="G578" s="324" t="s">
        <v>1217</v>
      </c>
      <c r="H578" s="385" t="s">
        <v>1961</v>
      </c>
      <c r="I578" s="304">
        <v>9201</v>
      </c>
      <c r="J578" s="316">
        <v>0.23100000000000001</v>
      </c>
      <c r="K578" s="304">
        <v>2.1</v>
      </c>
      <c r="L578" s="304"/>
      <c r="M578" s="128" t="s">
        <v>1106</v>
      </c>
      <c r="N578" s="128" t="s">
        <v>859</v>
      </c>
      <c r="O578" s="231"/>
    </row>
    <row r="579" spans="1:15" ht="19.5" x14ac:dyDescent="0.25">
      <c r="A579" s="128"/>
      <c r="B579" s="431" t="s">
        <v>555</v>
      </c>
      <c r="C579" s="431"/>
      <c r="D579" s="431"/>
      <c r="E579" s="431"/>
      <c r="F579" s="391">
        <f>F578</f>
        <v>0.48499999999999999</v>
      </c>
      <c r="G579" s="128"/>
      <c r="H579" s="385"/>
      <c r="I579" s="304"/>
      <c r="J579" s="389">
        <f>J578</f>
        <v>0.23100000000000001</v>
      </c>
      <c r="K579" s="304"/>
      <c r="L579" s="304"/>
      <c r="M579" s="128"/>
      <c r="N579" s="128"/>
      <c r="O579" s="231"/>
    </row>
    <row r="580" spans="1:15" ht="37.5" x14ac:dyDescent="0.25">
      <c r="A580" s="447">
        <v>231</v>
      </c>
      <c r="B580" s="430" t="s">
        <v>1999</v>
      </c>
      <c r="C580" s="444" t="s">
        <v>2107</v>
      </c>
      <c r="D580" s="216" t="s">
        <v>2158</v>
      </c>
      <c r="E580" s="447" t="s">
        <v>1999</v>
      </c>
      <c r="F580" s="304">
        <v>1.29</v>
      </c>
      <c r="G580" s="324" t="s">
        <v>1217</v>
      </c>
      <c r="H580" s="456" t="s">
        <v>1961</v>
      </c>
      <c r="I580" s="304">
        <v>12535</v>
      </c>
      <c r="J580" s="316">
        <v>0.315</v>
      </c>
      <c r="K580" s="304">
        <v>4.0999999999999996</v>
      </c>
      <c r="L580" s="304"/>
      <c r="M580" s="447" t="s">
        <v>1106</v>
      </c>
      <c r="N580" s="447" t="s">
        <v>859</v>
      </c>
      <c r="O580" s="538"/>
    </row>
    <row r="581" spans="1:15" ht="37.5" x14ac:dyDescent="0.25">
      <c r="A581" s="491"/>
      <c r="B581" s="430"/>
      <c r="C581" s="444"/>
      <c r="D581" s="216" t="s">
        <v>2196</v>
      </c>
      <c r="E581" s="491"/>
      <c r="F581" s="304">
        <v>1.925</v>
      </c>
      <c r="G581" s="331"/>
      <c r="H581" s="558"/>
      <c r="I581" s="304">
        <v>17430</v>
      </c>
      <c r="J581" s="316">
        <v>0.438</v>
      </c>
      <c r="K581" s="304">
        <v>4.4000000000000004</v>
      </c>
      <c r="L581" s="304"/>
      <c r="M581" s="491"/>
      <c r="N581" s="491"/>
      <c r="O581" s="540"/>
    </row>
    <row r="582" spans="1:15" ht="37.5" x14ac:dyDescent="0.25">
      <c r="A582" s="491"/>
      <c r="B582" s="430"/>
      <c r="C582" s="444"/>
      <c r="D582" s="216" t="s">
        <v>2197</v>
      </c>
      <c r="E582" s="491"/>
      <c r="F582" s="304">
        <v>2.2000000000000002</v>
      </c>
      <c r="G582" s="331"/>
      <c r="H582" s="558"/>
      <c r="I582" s="304">
        <v>19054</v>
      </c>
      <c r="J582" s="316">
        <v>0.4783</v>
      </c>
      <c r="K582" s="304">
        <v>4.5999999999999996</v>
      </c>
      <c r="L582" s="304"/>
      <c r="M582" s="491"/>
      <c r="N582" s="491"/>
      <c r="O582" s="540"/>
    </row>
    <row r="583" spans="1:15" ht="37.5" x14ac:dyDescent="0.25">
      <c r="A583" s="491"/>
      <c r="B583" s="430"/>
      <c r="C583" s="444"/>
      <c r="D583" s="216" t="s">
        <v>2198</v>
      </c>
      <c r="E583" s="491"/>
      <c r="F583" s="304">
        <v>0.315</v>
      </c>
      <c r="G583" s="331"/>
      <c r="H583" s="558"/>
      <c r="I583" s="304">
        <v>5456</v>
      </c>
      <c r="J583" s="316">
        <v>0.13700000000000001</v>
      </c>
      <c r="K583" s="304">
        <v>2.2999999999999998</v>
      </c>
      <c r="L583" s="304"/>
      <c r="M583" s="491"/>
      <c r="N583" s="491"/>
      <c r="O583" s="540"/>
    </row>
    <row r="584" spans="1:15" ht="37.5" x14ac:dyDescent="0.25">
      <c r="A584" s="491"/>
      <c r="B584" s="430"/>
      <c r="C584" s="444"/>
      <c r="D584" s="216" t="s">
        <v>1968</v>
      </c>
      <c r="E584" s="491"/>
      <c r="F584" s="304">
        <v>2.3839999999999999</v>
      </c>
      <c r="G584" s="331"/>
      <c r="H584" s="558"/>
      <c r="I584" s="304">
        <v>19787</v>
      </c>
      <c r="J584" s="316">
        <v>0.497</v>
      </c>
      <c r="K584" s="304">
        <v>4.8</v>
      </c>
      <c r="L584" s="304"/>
      <c r="M584" s="491"/>
      <c r="N584" s="491"/>
      <c r="O584" s="540"/>
    </row>
    <row r="585" spans="1:15" ht="37.5" x14ac:dyDescent="0.25">
      <c r="A585" s="491"/>
      <c r="B585" s="430"/>
      <c r="C585" s="444"/>
      <c r="D585" s="216" t="s">
        <v>2199</v>
      </c>
      <c r="E585" s="491"/>
      <c r="F585" s="304">
        <v>0.29299999999999998</v>
      </c>
      <c r="G585" s="331"/>
      <c r="H585" s="558"/>
      <c r="I585" s="304">
        <v>8338</v>
      </c>
      <c r="J585" s="316">
        <v>0.20930000000000001</v>
      </c>
      <c r="K585" s="304">
        <v>1.4</v>
      </c>
      <c r="L585" s="304"/>
      <c r="M585" s="491"/>
      <c r="N585" s="491"/>
      <c r="O585" s="540"/>
    </row>
    <row r="586" spans="1:15" ht="18.75" x14ac:dyDescent="0.25">
      <c r="A586" s="448"/>
      <c r="B586" s="430"/>
      <c r="C586" s="444"/>
      <c r="D586" s="216" t="s">
        <v>2200</v>
      </c>
      <c r="E586" s="448"/>
      <c r="F586" s="304">
        <v>0.2</v>
      </c>
      <c r="G586" s="165"/>
      <c r="H586" s="457"/>
      <c r="I586" s="304">
        <v>6640</v>
      </c>
      <c r="J586" s="316">
        <v>0.16669999999999999</v>
      </c>
      <c r="K586" s="304">
        <v>1.2</v>
      </c>
      <c r="L586" s="304"/>
      <c r="M586" s="448"/>
      <c r="N586" s="448"/>
      <c r="O586" s="539"/>
    </row>
    <row r="587" spans="1:15" ht="19.5" x14ac:dyDescent="0.25">
      <c r="A587" s="128"/>
      <c r="B587" s="431" t="s">
        <v>555</v>
      </c>
      <c r="C587" s="431"/>
      <c r="D587" s="431"/>
      <c r="E587" s="431"/>
      <c r="F587" s="391">
        <f>F580+F581+F582+F583+F584+F585+F586</f>
        <v>8.6069999999999993</v>
      </c>
      <c r="G587" s="128"/>
      <c r="H587" s="385"/>
      <c r="I587" s="304"/>
      <c r="J587" s="389">
        <f>J580+J581+J582+J583+J584+J585+J586</f>
        <v>2.2412999999999998</v>
      </c>
      <c r="K587" s="304"/>
      <c r="L587" s="304"/>
      <c r="M587" s="128"/>
      <c r="N587" s="128"/>
      <c r="O587" s="231"/>
    </row>
    <row r="588" spans="1:15" ht="18.75" x14ac:dyDescent="0.25">
      <c r="A588" s="128">
        <v>232</v>
      </c>
      <c r="B588" s="103" t="s">
        <v>2000</v>
      </c>
      <c r="C588" s="103" t="s">
        <v>2108</v>
      </c>
      <c r="D588" s="216" t="s">
        <v>2159</v>
      </c>
      <c r="E588" s="107" t="s">
        <v>2000</v>
      </c>
      <c r="F588" s="396">
        <v>0.71057999999999999</v>
      </c>
      <c r="G588" s="324" t="s">
        <v>1217</v>
      </c>
      <c r="H588" s="385" t="s">
        <v>1961</v>
      </c>
      <c r="I588" s="304">
        <v>4143</v>
      </c>
      <c r="J588" s="316">
        <v>0.105</v>
      </c>
      <c r="K588" s="304">
        <v>6.7</v>
      </c>
      <c r="L588" s="304"/>
      <c r="M588" s="128" t="s">
        <v>1107</v>
      </c>
      <c r="N588" s="128" t="s">
        <v>859</v>
      </c>
      <c r="O588" s="231"/>
    </row>
    <row r="589" spans="1:15" ht="19.5" x14ac:dyDescent="0.25">
      <c r="A589" s="128"/>
      <c r="B589" s="431" t="s">
        <v>555</v>
      </c>
      <c r="C589" s="431"/>
      <c r="D589" s="431"/>
      <c r="E589" s="431"/>
      <c r="F589" s="397">
        <f>F588</f>
        <v>0.71057999999999999</v>
      </c>
      <c r="G589" s="128"/>
      <c r="H589" s="385"/>
      <c r="I589" s="304"/>
      <c r="J589" s="389">
        <f>J588</f>
        <v>0.105</v>
      </c>
      <c r="K589" s="304"/>
      <c r="L589" s="304"/>
      <c r="M589" s="128"/>
      <c r="N589" s="128"/>
      <c r="O589" s="231"/>
    </row>
    <row r="590" spans="1:15" ht="56.25" x14ac:dyDescent="0.25">
      <c r="A590" s="128">
        <v>233</v>
      </c>
      <c r="B590" s="103" t="s">
        <v>2001</v>
      </c>
      <c r="C590" s="103" t="s">
        <v>2109</v>
      </c>
      <c r="D590" s="242" t="s">
        <v>2160</v>
      </c>
      <c r="E590" s="128" t="s">
        <v>2001</v>
      </c>
      <c r="F590" s="304">
        <v>359.56400000000002</v>
      </c>
      <c r="G590" s="324" t="s">
        <v>1217</v>
      </c>
      <c r="H590" s="385" t="s">
        <v>1961</v>
      </c>
      <c r="I590" s="329">
        <v>83567</v>
      </c>
      <c r="J590" s="332">
        <v>20.664999999999999</v>
      </c>
      <c r="K590" s="329">
        <v>17.399999999999999</v>
      </c>
      <c r="L590" s="329"/>
      <c r="M590" s="128" t="s">
        <v>1107</v>
      </c>
      <c r="N590" s="128" t="s">
        <v>859</v>
      </c>
      <c r="O590" s="231"/>
    </row>
    <row r="591" spans="1:15" ht="19.5" x14ac:dyDescent="0.25">
      <c r="A591" s="128"/>
      <c r="B591" s="431" t="s">
        <v>555</v>
      </c>
      <c r="C591" s="431"/>
      <c r="D591" s="431"/>
      <c r="E591" s="431"/>
      <c r="F591" s="88">
        <f>F590</f>
        <v>359.56400000000002</v>
      </c>
      <c r="G591" s="304"/>
      <c r="H591" s="304"/>
      <c r="I591" s="304"/>
      <c r="J591" s="245">
        <f>J590</f>
        <v>20.664999999999999</v>
      </c>
      <c r="K591" s="128"/>
      <c r="L591" s="128"/>
      <c r="M591" s="128"/>
      <c r="N591" s="128"/>
      <c r="O591" s="231"/>
    </row>
    <row r="592" spans="1:15" ht="56.25" x14ac:dyDescent="0.25">
      <c r="A592" s="128">
        <v>234</v>
      </c>
      <c r="B592" s="91" t="s">
        <v>2065</v>
      </c>
      <c r="C592" s="121" t="s">
        <v>2070</v>
      </c>
      <c r="D592" s="121" t="s">
        <v>2070</v>
      </c>
      <c r="E592" s="101" t="s">
        <v>1085</v>
      </c>
      <c r="F592" s="127">
        <v>27248.2</v>
      </c>
      <c r="G592" s="128" t="s">
        <v>988</v>
      </c>
      <c r="H592" s="87" t="s">
        <v>1961</v>
      </c>
      <c r="I592" s="93">
        <v>70811309</v>
      </c>
      <c r="J592" s="126">
        <v>1841</v>
      </c>
      <c r="K592" s="128">
        <v>14.8</v>
      </c>
      <c r="L592" s="128"/>
      <c r="M592" s="128" t="s">
        <v>1106</v>
      </c>
      <c r="N592" s="128" t="s">
        <v>859</v>
      </c>
      <c r="O592" s="231">
        <v>2023</v>
      </c>
    </row>
    <row r="593" spans="1:15" ht="19.5" x14ac:dyDescent="0.25">
      <c r="A593" s="128"/>
      <c r="B593" s="431" t="s">
        <v>555</v>
      </c>
      <c r="C593" s="431"/>
      <c r="D593" s="431"/>
      <c r="E593" s="431"/>
      <c r="F593" s="130">
        <v>27248.2</v>
      </c>
      <c r="G593" s="128"/>
      <c r="H593" s="87"/>
      <c r="I593" s="128"/>
      <c r="J593" s="245">
        <v>1841</v>
      </c>
      <c r="K593" s="128"/>
      <c r="L593" s="128"/>
      <c r="M593" s="128"/>
      <c r="N593" s="128"/>
      <c r="O593" s="231"/>
    </row>
    <row r="594" spans="1:15" ht="18.75" x14ac:dyDescent="0.25">
      <c r="A594" s="128">
        <v>235</v>
      </c>
      <c r="B594" s="91" t="s">
        <v>2014</v>
      </c>
      <c r="C594" s="121" t="s">
        <v>2118</v>
      </c>
      <c r="D594" s="121" t="s">
        <v>2161</v>
      </c>
      <c r="E594" s="128" t="s">
        <v>1408</v>
      </c>
      <c r="F594" s="304">
        <v>2.78</v>
      </c>
      <c r="G594" s="101" t="s">
        <v>428</v>
      </c>
      <c r="H594" s="87" t="s">
        <v>37</v>
      </c>
      <c r="I594" s="304">
        <v>43.9</v>
      </c>
      <c r="J594" s="316">
        <v>0.54200000000000004</v>
      </c>
      <c r="K594" s="304">
        <v>5.0999999999999996</v>
      </c>
      <c r="L594" s="304"/>
      <c r="M594" s="293" t="s">
        <v>864</v>
      </c>
      <c r="N594" s="101" t="s">
        <v>554</v>
      </c>
      <c r="O594" s="217">
        <v>2023</v>
      </c>
    </row>
    <row r="595" spans="1:15" ht="19.5" x14ac:dyDescent="0.25">
      <c r="A595" s="324"/>
      <c r="B595" s="431" t="s">
        <v>555</v>
      </c>
      <c r="C595" s="431"/>
      <c r="D595" s="431"/>
      <c r="E595" s="431"/>
      <c r="F595" s="16">
        <f>F594</f>
        <v>2.78</v>
      </c>
      <c r="G595" s="87"/>
      <c r="H595" s="128"/>
      <c r="I595" s="128"/>
      <c r="J595" s="245">
        <f>J594</f>
        <v>0.54200000000000004</v>
      </c>
      <c r="K595" s="128"/>
      <c r="L595" s="128"/>
      <c r="M595" s="324"/>
      <c r="N595" s="324"/>
      <c r="O595" s="217"/>
    </row>
    <row r="596" spans="1:15" ht="18.75" x14ac:dyDescent="0.25">
      <c r="A596" s="128">
        <v>236</v>
      </c>
      <c r="B596" s="91" t="s">
        <v>2014</v>
      </c>
      <c r="C596" s="121" t="s">
        <v>2119</v>
      </c>
      <c r="D596" s="121" t="s">
        <v>2161</v>
      </c>
      <c r="E596" s="128" t="s">
        <v>1408</v>
      </c>
      <c r="F596" s="304">
        <v>12.6</v>
      </c>
      <c r="G596" s="101" t="s">
        <v>428</v>
      </c>
      <c r="H596" s="87" t="s">
        <v>37</v>
      </c>
      <c r="I596" s="304">
        <v>275.60000000000002</v>
      </c>
      <c r="J596" s="316">
        <v>3.59</v>
      </c>
      <c r="K596" s="304">
        <v>3.5</v>
      </c>
      <c r="L596" s="304"/>
      <c r="M596" s="293" t="s">
        <v>864</v>
      </c>
      <c r="N596" s="101" t="s">
        <v>554</v>
      </c>
      <c r="O596" s="217">
        <v>2023</v>
      </c>
    </row>
    <row r="597" spans="1:15" ht="19.5" x14ac:dyDescent="0.25">
      <c r="A597" s="128"/>
      <c r="B597" s="431" t="s">
        <v>555</v>
      </c>
      <c r="C597" s="431"/>
      <c r="D597" s="431"/>
      <c r="E597" s="431"/>
      <c r="F597" s="130">
        <f>F596</f>
        <v>12.6</v>
      </c>
      <c r="G597" s="130"/>
      <c r="H597" s="130"/>
      <c r="I597" s="130"/>
      <c r="J597" s="245">
        <f>J596</f>
        <v>3.59</v>
      </c>
      <c r="K597" s="128"/>
      <c r="L597" s="128"/>
      <c r="M597" s="128"/>
      <c r="N597" s="128"/>
      <c r="O597" s="231"/>
    </row>
    <row r="598" spans="1:15" ht="56.25" x14ac:dyDescent="0.25">
      <c r="A598" s="128">
        <v>237</v>
      </c>
      <c r="B598" s="91" t="s">
        <v>2105</v>
      </c>
      <c r="C598" s="121" t="s">
        <v>2120</v>
      </c>
      <c r="D598" s="121" t="s">
        <v>2162</v>
      </c>
      <c r="E598" s="82" t="s">
        <v>2105</v>
      </c>
      <c r="F598" s="304">
        <v>6.2750000000000004</v>
      </c>
      <c r="G598" s="337" t="s">
        <v>1049</v>
      </c>
      <c r="H598" s="101" t="s">
        <v>37</v>
      </c>
      <c r="I598" s="304">
        <v>152.30000000000001</v>
      </c>
      <c r="J598" s="316">
        <v>2.024</v>
      </c>
      <c r="K598" s="304">
        <v>3.1</v>
      </c>
      <c r="L598" s="304"/>
      <c r="M598" s="335" t="s">
        <v>1956</v>
      </c>
      <c r="N598" s="101" t="s">
        <v>859</v>
      </c>
      <c r="O598" s="168">
        <v>2020</v>
      </c>
    </row>
    <row r="599" spans="1:15" ht="19.5" x14ac:dyDescent="0.25">
      <c r="A599" s="128"/>
      <c r="B599" s="431" t="s">
        <v>555</v>
      </c>
      <c r="C599" s="431"/>
      <c r="D599" s="431"/>
      <c r="E599" s="431"/>
      <c r="F599" s="341">
        <f>F598</f>
        <v>6.2750000000000004</v>
      </c>
      <c r="G599" s="128"/>
      <c r="H599" s="128"/>
      <c r="I599" s="341"/>
      <c r="J599" s="245">
        <f>J598</f>
        <v>2.024</v>
      </c>
      <c r="K599" s="341"/>
      <c r="L599" s="341"/>
      <c r="M599" s="128"/>
      <c r="N599" s="128"/>
      <c r="O599" s="231"/>
    </row>
    <row r="600" spans="1:15" ht="56.25" x14ac:dyDescent="0.25">
      <c r="A600" s="128">
        <v>238</v>
      </c>
      <c r="B600" s="91" t="s">
        <v>2105</v>
      </c>
      <c r="C600" s="121" t="s">
        <v>2121</v>
      </c>
      <c r="D600" s="121" t="s">
        <v>2162</v>
      </c>
      <c r="E600" s="82" t="s">
        <v>2105</v>
      </c>
      <c r="F600" s="304">
        <v>7.1360000000000001</v>
      </c>
      <c r="G600" s="337" t="s">
        <v>1049</v>
      </c>
      <c r="H600" s="101" t="s">
        <v>37</v>
      </c>
      <c r="I600" s="304">
        <v>145.69999999999999</v>
      </c>
      <c r="J600" s="316">
        <v>1.923</v>
      </c>
      <c r="K600" s="304">
        <v>3.7</v>
      </c>
      <c r="L600" s="304"/>
      <c r="M600" s="335" t="s">
        <v>1956</v>
      </c>
      <c r="N600" s="101" t="s">
        <v>859</v>
      </c>
      <c r="O600" s="168">
        <v>2020</v>
      </c>
    </row>
    <row r="601" spans="1:15" ht="19.5" x14ac:dyDescent="0.25">
      <c r="A601" s="128"/>
      <c r="B601" s="431" t="s">
        <v>555</v>
      </c>
      <c r="C601" s="431"/>
      <c r="D601" s="431"/>
      <c r="E601" s="431"/>
      <c r="F601" s="130">
        <f>F600</f>
        <v>7.1360000000000001</v>
      </c>
      <c r="G601" s="128"/>
      <c r="H601" s="127"/>
      <c r="I601" s="128"/>
      <c r="J601" s="245">
        <f>J600</f>
        <v>1.923</v>
      </c>
      <c r="K601" s="128"/>
      <c r="L601" s="128"/>
      <c r="M601" s="128"/>
      <c r="N601" s="128"/>
      <c r="O601" s="231"/>
    </row>
    <row r="602" spans="1:15" ht="37.5" x14ac:dyDescent="0.25">
      <c r="A602" s="128">
        <v>239</v>
      </c>
      <c r="B602" s="91" t="s">
        <v>2105</v>
      </c>
      <c r="C602" s="121" t="s">
        <v>2122</v>
      </c>
      <c r="D602" s="121" t="s">
        <v>2162</v>
      </c>
      <c r="E602" s="82" t="s">
        <v>2105</v>
      </c>
      <c r="F602" s="304">
        <v>6.1390000000000002</v>
      </c>
      <c r="G602" s="337" t="s">
        <v>1049</v>
      </c>
      <c r="H602" s="101" t="s">
        <v>37</v>
      </c>
      <c r="I602" s="304">
        <v>158.6</v>
      </c>
      <c r="J602" s="316">
        <v>2.1</v>
      </c>
      <c r="K602" s="304">
        <v>3.4</v>
      </c>
      <c r="L602" s="304"/>
      <c r="M602" s="335" t="s">
        <v>1956</v>
      </c>
      <c r="N602" s="101" t="s">
        <v>859</v>
      </c>
      <c r="O602" s="168">
        <v>2020</v>
      </c>
    </row>
    <row r="603" spans="1:15" ht="19.5" x14ac:dyDescent="0.25">
      <c r="A603" s="128"/>
      <c r="B603" s="431" t="s">
        <v>555</v>
      </c>
      <c r="C603" s="431"/>
      <c r="D603" s="431"/>
      <c r="E603" s="431"/>
      <c r="F603" s="130">
        <f>F602</f>
        <v>6.1390000000000002</v>
      </c>
      <c r="G603" s="128"/>
      <c r="H603" s="128"/>
      <c r="I603" s="128"/>
      <c r="J603" s="245">
        <f>J602</f>
        <v>2.1</v>
      </c>
      <c r="K603" s="128"/>
      <c r="L603" s="128"/>
      <c r="M603" s="128"/>
      <c r="N603" s="128"/>
      <c r="O603" s="231"/>
    </row>
    <row r="604" spans="1:15" ht="37.5" x14ac:dyDescent="0.25">
      <c r="A604" s="128">
        <v>240</v>
      </c>
      <c r="B604" s="91" t="s">
        <v>2105</v>
      </c>
      <c r="C604" s="121" t="s">
        <v>2123</v>
      </c>
      <c r="D604" s="121" t="s">
        <v>2162</v>
      </c>
      <c r="E604" s="82" t="s">
        <v>2105</v>
      </c>
      <c r="F604" s="304">
        <v>94.590999999999994</v>
      </c>
      <c r="G604" s="337" t="s">
        <v>1049</v>
      </c>
      <c r="H604" s="101" t="s">
        <v>37</v>
      </c>
      <c r="I604" s="304">
        <v>1661</v>
      </c>
      <c r="J604" s="316">
        <v>21.998000000000001</v>
      </c>
      <c r="K604" s="304">
        <v>4.3</v>
      </c>
      <c r="L604" s="304"/>
      <c r="M604" s="335" t="s">
        <v>1956</v>
      </c>
      <c r="N604" s="101" t="s">
        <v>859</v>
      </c>
      <c r="O604" s="168">
        <v>2020</v>
      </c>
    </row>
    <row r="605" spans="1:15" ht="19.5" x14ac:dyDescent="0.25">
      <c r="A605" s="128"/>
      <c r="B605" s="431" t="s">
        <v>555</v>
      </c>
      <c r="C605" s="431"/>
      <c r="D605" s="431"/>
      <c r="E605" s="431"/>
      <c r="F605" s="130">
        <f>F604</f>
        <v>94.590999999999994</v>
      </c>
      <c r="G605" s="128"/>
      <c r="H605" s="128"/>
      <c r="I605" s="128"/>
      <c r="J605" s="245">
        <f>J604</f>
        <v>21.998000000000001</v>
      </c>
      <c r="K605" s="128"/>
      <c r="L605" s="128"/>
      <c r="M605" s="128"/>
      <c r="N605" s="128"/>
      <c r="O605" s="231"/>
    </row>
    <row r="606" spans="1:15" ht="37.5" x14ac:dyDescent="0.25">
      <c r="A606" s="128">
        <v>241</v>
      </c>
      <c r="B606" s="91" t="s">
        <v>2105</v>
      </c>
      <c r="C606" s="121" t="s">
        <v>2124</v>
      </c>
      <c r="D606" s="121" t="s">
        <v>2162</v>
      </c>
      <c r="E606" s="82" t="s">
        <v>2105</v>
      </c>
      <c r="F606" s="304">
        <v>6.4269999999999996</v>
      </c>
      <c r="G606" s="337" t="s">
        <v>1049</v>
      </c>
      <c r="H606" s="101" t="s">
        <v>37</v>
      </c>
      <c r="I606" s="304">
        <v>138.69999999999999</v>
      </c>
      <c r="J606" s="316">
        <v>1.8360000000000001</v>
      </c>
      <c r="K606" s="304">
        <v>3.5</v>
      </c>
      <c r="L606" s="304"/>
      <c r="M606" s="335" t="s">
        <v>1956</v>
      </c>
      <c r="N606" s="101" t="s">
        <v>859</v>
      </c>
      <c r="O606" s="168">
        <v>2020</v>
      </c>
    </row>
    <row r="607" spans="1:15" ht="19.5" x14ac:dyDescent="0.25">
      <c r="A607" s="128"/>
      <c r="B607" s="431" t="s">
        <v>555</v>
      </c>
      <c r="C607" s="431"/>
      <c r="D607" s="431"/>
      <c r="E607" s="431"/>
      <c r="F607" s="130">
        <f>F606</f>
        <v>6.4269999999999996</v>
      </c>
      <c r="G607" s="128"/>
      <c r="H607" s="128"/>
      <c r="I607" s="128"/>
      <c r="J607" s="245">
        <f>J606</f>
        <v>1.8360000000000001</v>
      </c>
      <c r="K607" s="128"/>
      <c r="L607" s="128"/>
      <c r="M607" s="128"/>
      <c r="N607" s="128"/>
      <c r="O607" s="231"/>
    </row>
    <row r="608" spans="1:15" ht="37.5" x14ac:dyDescent="0.25">
      <c r="A608" s="128">
        <v>242</v>
      </c>
      <c r="B608" s="91" t="s">
        <v>2105</v>
      </c>
      <c r="C608" s="121" t="s">
        <v>2125</v>
      </c>
      <c r="D608" s="121" t="s">
        <v>2162</v>
      </c>
      <c r="E608" s="82" t="s">
        <v>2105</v>
      </c>
      <c r="F608" s="304">
        <v>83.775000000000006</v>
      </c>
      <c r="G608" s="337" t="s">
        <v>1049</v>
      </c>
      <c r="H608" s="101" t="s">
        <v>37</v>
      </c>
      <c r="I608" s="304">
        <v>1291.5999999999999</v>
      </c>
      <c r="J608" s="316">
        <v>17.097000000000001</v>
      </c>
      <c r="K608" s="304">
        <v>4.9000000000000004</v>
      </c>
      <c r="L608" s="304"/>
      <c r="M608" s="335" t="s">
        <v>1956</v>
      </c>
      <c r="N608" s="101" t="s">
        <v>859</v>
      </c>
      <c r="O608" s="168">
        <v>2020</v>
      </c>
    </row>
    <row r="609" spans="1:15" ht="19.5" x14ac:dyDescent="0.25">
      <c r="A609" s="128"/>
      <c r="B609" s="431" t="s">
        <v>555</v>
      </c>
      <c r="C609" s="431"/>
      <c r="D609" s="431"/>
      <c r="E609" s="431"/>
      <c r="F609" s="130">
        <f>F608</f>
        <v>83.775000000000006</v>
      </c>
      <c r="G609" s="128"/>
      <c r="H609" s="128"/>
      <c r="I609" s="128"/>
      <c r="J609" s="245">
        <f>J608</f>
        <v>17.097000000000001</v>
      </c>
      <c r="K609" s="128"/>
      <c r="L609" s="128"/>
      <c r="M609" s="128"/>
      <c r="N609" s="128"/>
      <c r="O609" s="231"/>
    </row>
    <row r="610" spans="1:15" ht="37.5" x14ac:dyDescent="0.25">
      <c r="A610" s="128">
        <v>243</v>
      </c>
      <c r="B610" s="91" t="s">
        <v>2105</v>
      </c>
      <c r="C610" s="121" t="s">
        <v>2126</v>
      </c>
      <c r="D610" s="121" t="s">
        <v>2162</v>
      </c>
      <c r="E610" s="82" t="s">
        <v>2105</v>
      </c>
      <c r="F610" s="316">
        <v>126.36499999999999</v>
      </c>
      <c r="G610" s="337" t="s">
        <v>1049</v>
      </c>
      <c r="H610" s="101" t="s">
        <v>37</v>
      </c>
      <c r="I610" s="330">
        <v>1646</v>
      </c>
      <c r="J610" s="333">
        <v>21.786999999999999</v>
      </c>
      <c r="K610" s="330">
        <v>5.8</v>
      </c>
      <c r="L610" s="330"/>
      <c r="M610" s="335" t="s">
        <v>1956</v>
      </c>
      <c r="N610" s="101" t="s">
        <v>859</v>
      </c>
      <c r="O610" s="168">
        <v>2020</v>
      </c>
    </row>
    <row r="611" spans="1:15" ht="19.5" x14ac:dyDescent="0.25">
      <c r="A611" s="128"/>
      <c r="B611" s="431" t="s">
        <v>555</v>
      </c>
      <c r="C611" s="431"/>
      <c r="D611" s="431"/>
      <c r="E611" s="431"/>
      <c r="F611" s="130">
        <f>F610</f>
        <v>126.36499999999999</v>
      </c>
      <c r="G611" s="128"/>
      <c r="H611" s="128"/>
      <c r="I611" s="128"/>
      <c r="J611" s="245">
        <f>J610</f>
        <v>21.786999999999999</v>
      </c>
      <c r="K611" s="128"/>
      <c r="L611" s="128"/>
      <c r="M611" s="128"/>
      <c r="N611" s="128"/>
      <c r="O611" s="231"/>
    </row>
    <row r="612" spans="1:15" ht="56.25" x14ac:dyDescent="0.25">
      <c r="A612" s="128">
        <v>244</v>
      </c>
      <c r="B612" s="91" t="s">
        <v>2105</v>
      </c>
      <c r="C612" s="121" t="s">
        <v>2127</v>
      </c>
      <c r="D612" s="121" t="s">
        <v>2162</v>
      </c>
      <c r="E612" s="82" t="s">
        <v>2105</v>
      </c>
      <c r="F612" s="304">
        <v>6.7279999999999998</v>
      </c>
      <c r="G612" s="337" t="s">
        <v>1049</v>
      </c>
      <c r="H612" s="101" t="s">
        <v>37</v>
      </c>
      <c r="I612" s="304">
        <v>158.80000000000001</v>
      </c>
      <c r="J612" s="316">
        <v>2.1030000000000002</v>
      </c>
      <c r="K612" s="304">
        <v>3.2</v>
      </c>
      <c r="L612" s="304"/>
      <c r="M612" s="335" t="s">
        <v>1956</v>
      </c>
      <c r="N612" s="101" t="s">
        <v>859</v>
      </c>
      <c r="O612" s="168">
        <v>2020</v>
      </c>
    </row>
    <row r="613" spans="1:15" ht="19.5" x14ac:dyDescent="0.25">
      <c r="A613" s="128"/>
      <c r="B613" s="431" t="s">
        <v>555</v>
      </c>
      <c r="C613" s="431"/>
      <c r="D613" s="431"/>
      <c r="E613" s="431"/>
      <c r="F613" s="130">
        <f>F612</f>
        <v>6.7279999999999998</v>
      </c>
      <c r="G613" s="128"/>
      <c r="H613" s="128"/>
      <c r="I613" s="128"/>
      <c r="J613" s="245">
        <f>J612</f>
        <v>2.1030000000000002</v>
      </c>
      <c r="K613" s="128"/>
      <c r="L613" s="128"/>
      <c r="M613" s="128"/>
      <c r="N613" s="128"/>
      <c r="O613" s="231"/>
    </row>
    <row r="614" spans="1:15" ht="20.25" x14ac:dyDescent="0.25">
      <c r="A614" s="159"/>
      <c r="B614" s="196" t="s">
        <v>2238</v>
      </c>
      <c r="C614" s="509"/>
      <c r="D614" s="510"/>
      <c r="E614" s="159" t="s">
        <v>1973</v>
      </c>
      <c r="F614" s="384">
        <f>F536+F538+F540+F544+F547+F549+F551+F556+F559+F562+F564+F566+F568+F570+F573+F577+F579+F587+F589+F591+F593+F595+F597+F599+F601+F603+F605+F607+F609+F611+F613</f>
        <v>28912.89158</v>
      </c>
      <c r="G614" s="384"/>
      <c r="H614" s="384"/>
      <c r="I614" s="384"/>
      <c r="J614" s="306">
        <f>J536+J538+J540+J544+J547+J549+J551+J556+J559+J562+J564+J566+J568+J570+J573+J577+J579+J587+J589+J591+J593+J595+J597+J599+J601+J603+J605+J607+J609+J611+J613</f>
        <v>2216.4635999999996</v>
      </c>
      <c r="K614" s="159"/>
      <c r="L614" s="159"/>
      <c r="M614" s="159"/>
      <c r="N614" s="159"/>
      <c r="O614" s="224"/>
    </row>
    <row r="615" spans="1:15" ht="56.25" x14ac:dyDescent="0.25">
      <c r="A615" s="128">
        <v>245</v>
      </c>
      <c r="B615" s="91" t="s">
        <v>2065</v>
      </c>
      <c r="C615" s="121" t="s">
        <v>2071</v>
      </c>
      <c r="D615" s="121" t="s">
        <v>2080</v>
      </c>
      <c r="E615" s="101" t="s">
        <v>1978</v>
      </c>
      <c r="F615" s="316">
        <v>18352.679</v>
      </c>
      <c r="G615" s="101" t="s">
        <v>988</v>
      </c>
      <c r="H615" s="101" t="s">
        <v>1961</v>
      </c>
      <c r="I615" s="304">
        <v>7290000</v>
      </c>
      <c r="J615" s="316">
        <v>240.57</v>
      </c>
      <c r="K615" s="304">
        <v>5</v>
      </c>
      <c r="L615" s="304"/>
      <c r="M615" s="101" t="s">
        <v>1106</v>
      </c>
      <c r="N615" s="101" t="s">
        <v>859</v>
      </c>
      <c r="O615" s="168">
        <v>2023</v>
      </c>
    </row>
    <row r="616" spans="1:15" ht="19.5" x14ac:dyDescent="0.25">
      <c r="A616" s="128"/>
      <c r="B616" s="431" t="s">
        <v>555</v>
      </c>
      <c r="C616" s="431"/>
      <c r="D616" s="431"/>
      <c r="E616" s="431"/>
      <c r="F616" s="245">
        <f>F615</f>
        <v>18352.679</v>
      </c>
      <c r="G616" s="128"/>
      <c r="H616" s="128"/>
      <c r="I616" s="128"/>
      <c r="J616" s="245">
        <f>J615</f>
        <v>240.57</v>
      </c>
      <c r="K616" s="128"/>
      <c r="L616" s="128"/>
      <c r="M616" s="128"/>
      <c r="N616" s="128"/>
      <c r="O616" s="231"/>
    </row>
    <row r="617" spans="1:15" ht="93.75" x14ac:dyDescent="0.25">
      <c r="A617" s="128">
        <v>246</v>
      </c>
      <c r="B617" s="91" t="s">
        <v>2066</v>
      </c>
      <c r="C617" s="121" t="s">
        <v>2072</v>
      </c>
      <c r="D617" s="121" t="s">
        <v>2072</v>
      </c>
      <c r="E617" s="101" t="s">
        <v>2002</v>
      </c>
      <c r="F617" s="316">
        <v>178.99345600000001</v>
      </c>
      <c r="G617" s="101" t="s">
        <v>988</v>
      </c>
      <c r="H617" s="101" t="s">
        <v>1776</v>
      </c>
      <c r="I617" s="304">
        <v>643358</v>
      </c>
      <c r="J617" s="316">
        <v>18.078340000000001</v>
      </c>
      <c r="K617" s="304">
        <v>5</v>
      </c>
      <c r="L617" s="304"/>
      <c r="M617" s="101" t="s">
        <v>1952</v>
      </c>
      <c r="N617" s="101" t="s">
        <v>554</v>
      </c>
      <c r="O617" s="168">
        <v>2022</v>
      </c>
    </row>
    <row r="618" spans="1:15" ht="19.5" x14ac:dyDescent="0.25">
      <c r="A618" s="128"/>
      <c r="B618" s="431" t="s">
        <v>555</v>
      </c>
      <c r="C618" s="431"/>
      <c r="D618" s="431"/>
      <c r="E618" s="431"/>
      <c r="F618" s="245">
        <f>F617</f>
        <v>178.99345600000001</v>
      </c>
      <c r="G618" s="128"/>
      <c r="H618" s="128"/>
      <c r="I618" s="128"/>
      <c r="J618" s="245">
        <f>J617</f>
        <v>18.078340000000001</v>
      </c>
      <c r="K618" s="128"/>
      <c r="L618" s="128"/>
      <c r="M618" s="128"/>
      <c r="N618" s="128"/>
      <c r="O618" s="231"/>
    </row>
    <row r="619" spans="1:15" ht="93.75" x14ac:dyDescent="0.25">
      <c r="A619" s="128">
        <v>247</v>
      </c>
      <c r="B619" s="91" t="s">
        <v>2066</v>
      </c>
      <c r="C619" s="121" t="s">
        <v>2073</v>
      </c>
      <c r="D619" s="121" t="s">
        <v>2073</v>
      </c>
      <c r="E619" s="101" t="s">
        <v>2002</v>
      </c>
      <c r="F619" s="316">
        <v>177.298327</v>
      </c>
      <c r="G619" s="101" t="s">
        <v>988</v>
      </c>
      <c r="H619" s="101" t="s">
        <v>1776</v>
      </c>
      <c r="I619" s="304">
        <v>649884</v>
      </c>
      <c r="J619" s="316">
        <v>18.261728000000002</v>
      </c>
      <c r="K619" s="304">
        <v>5</v>
      </c>
      <c r="L619" s="304"/>
      <c r="M619" s="101" t="s">
        <v>1952</v>
      </c>
      <c r="N619" s="101" t="s">
        <v>554</v>
      </c>
      <c r="O619" s="168">
        <v>2022</v>
      </c>
    </row>
    <row r="620" spans="1:15" ht="19.5" x14ac:dyDescent="0.25">
      <c r="A620" s="128"/>
      <c r="B620" s="431" t="s">
        <v>555</v>
      </c>
      <c r="C620" s="431"/>
      <c r="D620" s="431"/>
      <c r="E620" s="431"/>
      <c r="F620" s="245">
        <f>F619</f>
        <v>177.298327</v>
      </c>
      <c r="G620" s="128"/>
      <c r="H620" s="128"/>
      <c r="I620" s="128"/>
      <c r="J620" s="245">
        <f>J619</f>
        <v>18.261728000000002</v>
      </c>
      <c r="K620" s="128"/>
      <c r="L620" s="128"/>
      <c r="M620" s="128"/>
      <c r="N620" s="128"/>
      <c r="O620" s="231"/>
    </row>
    <row r="621" spans="1:15" ht="93.75" x14ac:dyDescent="0.25">
      <c r="A621" s="128">
        <v>248</v>
      </c>
      <c r="B621" s="91" t="s">
        <v>2066</v>
      </c>
      <c r="C621" s="121" t="s">
        <v>2074</v>
      </c>
      <c r="D621" s="121" t="s">
        <v>2074</v>
      </c>
      <c r="E621" s="101" t="s">
        <v>2002</v>
      </c>
      <c r="F621" s="316">
        <v>131.90928600000001</v>
      </c>
      <c r="G621" s="101" t="s">
        <v>988</v>
      </c>
      <c r="H621" s="101" t="s">
        <v>1776</v>
      </c>
      <c r="I621" s="304">
        <v>460040</v>
      </c>
      <c r="J621" s="316">
        <v>12.927110000000001</v>
      </c>
      <c r="K621" s="304">
        <v>5</v>
      </c>
      <c r="L621" s="304"/>
      <c r="M621" s="101" t="s">
        <v>1952</v>
      </c>
      <c r="N621" s="101" t="s">
        <v>554</v>
      </c>
      <c r="O621" s="168">
        <v>2022</v>
      </c>
    </row>
    <row r="622" spans="1:15" ht="19.5" x14ac:dyDescent="0.25">
      <c r="A622" s="128"/>
      <c r="B622" s="431" t="s">
        <v>555</v>
      </c>
      <c r="C622" s="431"/>
      <c r="D622" s="431"/>
      <c r="E622" s="431"/>
      <c r="F622" s="245">
        <f>F621</f>
        <v>131.90928600000001</v>
      </c>
      <c r="G622" s="128"/>
      <c r="H622" s="128"/>
      <c r="I622" s="128"/>
      <c r="J622" s="245">
        <f>J621</f>
        <v>12.927110000000001</v>
      </c>
      <c r="K622" s="128"/>
      <c r="L622" s="128"/>
      <c r="M622" s="128"/>
      <c r="N622" s="128"/>
      <c r="O622" s="231"/>
    </row>
    <row r="623" spans="1:15" ht="93.75" x14ac:dyDescent="0.25">
      <c r="A623" s="128">
        <v>249</v>
      </c>
      <c r="B623" s="91" t="s">
        <v>2066</v>
      </c>
      <c r="C623" s="121" t="s">
        <v>2075</v>
      </c>
      <c r="D623" s="121" t="s">
        <v>2075</v>
      </c>
      <c r="E623" s="101" t="s">
        <v>2002</v>
      </c>
      <c r="F623" s="316">
        <v>134.884422</v>
      </c>
      <c r="G623" s="101" t="s">
        <v>988</v>
      </c>
      <c r="H623" s="101" t="s">
        <v>1776</v>
      </c>
      <c r="I623" s="304">
        <v>464248</v>
      </c>
      <c r="J623" s="316">
        <v>13.045379000000001</v>
      </c>
      <c r="K623" s="304">
        <v>5</v>
      </c>
      <c r="L623" s="304"/>
      <c r="M623" s="101" t="s">
        <v>1952</v>
      </c>
      <c r="N623" s="101" t="s">
        <v>554</v>
      </c>
      <c r="O623" s="168">
        <v>2022</v>
      </c>
    </row>
    <row r="624" spans="1:15" ht="19.5" x14ac:dyDescent="0.25">
      <c r="A624" s="128"/>
      <c r="B624" s="431" t="s">
        <v>555</v>
      </c>
      <c r="C624" s="431"/>
      <c r="D624" s="431"/>
      <c r="E624" s="431"/>
      <c r="F624" s="156">
        <f>F623</f>
        <v>134.884422</v>
      </c>
      <c r="G624" s="128"/>
      <c r="H624" s="128"/>
      <c r="I624" s="128"/>
      <c r="J624" s="245">
        <f>J623</f>
        <v>13.045379000000001</v>
      </c>
      <c r="K624" s="128"/>
      <c r="L624" s="128"/>
      <c r="M624" s="128"/>
      <c r="N624" s="128"/>
      <c r="O624" s="231"/>
    </row>
    <row r="625" spans="1:15" ht="93.75" x14ac:dyDescent="0.25">
      <c r="A625" s="128">
        <v>250</v>
      </c>
      <c r="B625" s="91" t="s">
        <v>2066</v>
      </c>
      <c r="C625" s="121" t="s">
        <v>2076</v>
      </c>
      <c r="D625" s="121" t="s">
        <v>2076</v>
      </c>
      <c r="E625" s="101" t="s">
        <v>2002</v>
      </c>
      <c r="F625" s="377">
        <v>160.13992099999999</v>
      </c>
      <c r="G625" s="101" t="s">
        <v>988</v>
      </c>
      <c r="H625" s="101" t="s">
        <v>1776</v>
      </c>
      <c r="I625" s="304">
        <v>564194</v>
      </c>
      <c r="J625" s="316">
        <v>15.853852</v>
      </c>
      <c r="K625" s="304">
        <v>5</v>
      </c>
      <c r="L625" s="304"/>
      <c r="M625" s="101" t="s">
        <v>1952</v>
      </c>
      <c r="N625" s="101" t="s">
        <v>554</v>
      </c>
      <c r="O625" s="168">
        <v>2022</v>
      </c>
    </row>
    <row r="626" spans="1:15" ht="19.5" x14ac:dyDescent="0.25">
      <c r="A626" s="128"/>
      <c r="B626" s="431" t="s">
        <v>555</v>
      </c>
      <c r="C626" s="431"/>
      <c r="D626" s="431"/>
      <c r="E626" s="431"/>
      <c r="F626" s="156">
        <f>F625</f>
        <v>160.13992099999999</v>
      </c>
      <c r="G626" s="128"/>
      <c r="H626" s="128"/>
      <c r="I626" s="128"/>
      <c r="J626" s="245">
        <f>J625</f>
        <v>15.853852</v>
      </c>
      <c r="K626" s="128"/>
      <c r="L626" s="128"/>
      <c r="M626" s="128"/>
      <c r="N626" s="128"/>
      <c r="O626" s="231"/>
    </row>
    <row r="627" spans="1:15" ht="93.75" x14ac:dyDescent="0.25">
      <c r="A627" s="128">
        <v>251</v>
      </c>
      <c r="B627" s="91" t="s">
        <v>2066</v>
      </c>
      <c r="C627" s="121" t="s">
        <v>2077</v>
      </c>
      <c r="D627" s="121" t="s">
        <v>2077</v>
      </c>
      <c r="E627" s="101" t="s">
        <v>2002</v>
      </c>
      <c r="F627" s="316">
        <v>161.408501</v>
      </c>
      <c r="G627" s="101" t="s">
        <v>988</v>
      </c>
      <c r="H627" s="101" t="s">
        <v>1776</v>
      </c>
      <c r="I627" s="304">
        <v>568663</v>
      </c>
      <c r="J627" s="316">
        <v>15.979442000000001</v>
      </c>
      <c r="K627" s="304">
        <v>5</v>
      </c>
      <c r="L627" s="304"/>
      <c r="M627" s="101" t="s">
        <v>1952</v>
      </c>
      <c r="N627" s="101" t="s">
        <v>554</v>
      </c>
      <c r="O627" s="168">
        <v>2022</v>
      </c>
    </row>
    <row r="628" spans="1:15" ht="19.5" x14ac:dyDescent="0.25">
      <c r="A628" s="128"/>
      <c r="B628" s="431" t="s">
        <v>555</v>
      </c>
      <c r="C628" s="431"/>
      <c r="D628" s="431"/>
      <c r="E628" s="431"/>
      <c r="F628" s="245">
        <f>F627</f>
        <v>161.408501</v>
      </c>
      <c r="G628" s="128"/>
      <c r="H628" s="128"/>
      <c r="I628" s="128"/>
      <c r="J628" s="245">
        <f>J627</f>
        <v>15.979442000000001</v>
      </c>
      <c r="K628" s="128"/>
      <c r="L628" s="128"/>
      <c r="M628" s="128"/>
      <c r="N628" s="128"/>
      <c r="O628" s="231"/>
    </row>
    <row r="629" spans="1:15" ht="37.5" x14ac:dyDescent="0.25">
      <c r="A629" s="128">
        <v>252</v>
      </c>
      <c r="B629" s="91" t="s">
        <v>2105</v>
      </c>
      <c r="C629" s="121" t="s">
        <v>2128</v>
      </c>
      <c r="D629" s="121" t="s">
        <v>1405</v>
      </c>
      <c r="E629" s="82" t="s">
        <v>2105</v>
      </c>
      <c r="F629" s="316">
        <v>5.6736700000000004</v>
      </c>
      <c r="G629" s="337" t="s">
        <v>1049</v>
      </c>
      <c r="H629" s="101" t="s">
        <v>1969</v>
      </c>
      <c r="I629" s="304">
        <v>117.6</v>
      </c>
      <c r="J629" s="316">
        <v>1.9760930000000001</v>
      </c>
      <c r="K629" s="304">
        <v>2.8</v>
      </c>
      <c r="L629" s="304"/>
      <c r="M629" s="335" t="s">
        <v>1956</v>
      </c>
      <c r="N629" s="101" t="s">
        <v>554</v>
      </c>
      <c r="O629" s="168">
        <v>2020</v>
      </c>
    </row>
    <row r="630" spans="1:15" ht="19.5" x14ac:dyDescent="0.25">
      <c r="A630" s="128"/>
      <c r="B630" s="431" t="s">
        <v>555</v>
      </c>
      <c r="C630" s="431"/>
      <c r="D630" s="431"/>
      <c r="E630" s="431"/>
      <c r="F630" s="245">
        <f>F629</f>
        <v>5.6736700000000004</v>
      </c>
      <c r="G630" s="128"/>
      <c r="H630" s="128"/>
      <c r="I630" s="128"/>
      <c r="J630" s="245">
        <f>J629</f>
        <v>1.9760930000000001</v>
      </c>
      <c r="K630" s="128"/>
      <c r="L630" s="128"/>
      <c r="M630" s="128"/>
      <c r="N630" s="128"/>
      <c r="O630" s="231"/>
    </row>
    <row r="631" spans="1:15" ht="37.5" x14ac:dyDescent="0.25">
      <c r="A631" s="128">
        <v>253</v>
      </c>
      <c r="B631" s="91" t="s">
        <v>2105</v>
      </c>
      <c r="C631" s="121" t="s">
        <v>2129</v>
      </c>
      <c r="D631" s="121" t="s">
        <v>1405</v>
      </c>
      <c r="E631" s="82" t="s">
        <v>2105</v>
      </c>
      <c r="F631" s="316">
        <v>6.8145769999999999</v>
      </c>
      <c r="G631" s="337" t="s">
        <v>1049</v>
      </c>
      <c r="H631" s="101" t="s">
        <v>1969</v>
      </c>
      <c r="I631" s="304">
        <v>12.8</v>
      </c>
      <c r="J631" s="316">
        <v>0.215</v>
      </c>
      <c r="K631" s="304">
        <v>2.8</v>
      </c>
      <c r="L631" s="304"/>
      <c r="M631" s="335" t="s">
        <v>1956</v>
      </c>
      <c r="N631" s="101" t="s">
        <v>554</v>
      </c>
      <c r="O631" s="168">
        <v>2020</v>
      </c>
    </row>
    <row r="632" spans="1:15" ht="19.5" x14ac:dyDescent="0.25">
      <c r="A632" s="128"/>
      <c r="B632" s="431" t="s">
        <v>555</v>
      </c>
      <c r="C632" s="431"/>
      <c r="D632" s="431"/>
      <c r="E632" s="431"/>
      <c r="F632" s="245">
        <f>F631</f>
        <v>6.8145769999999999</v>
      </c>
      <c r="G632" s="128"/>
      <c r="H632" s="128"/>
      <c r="I632" s="128"/>
      <c r="J632" s="245">
        <f>J631</f>
        <v>0.215</v>
      </c>
      <c r="K632" s="128"/>
      <c r="L632" s="128"/>
      <c r="M632" s="128"/>
      <c r="N632" s="128"/>
      <c r="O632" s="231"/>
    </row>
    <row r="633" spans="1:15" ht="37.5" x14ac:dyDescent="0.25">
      <c r="A633" s="128">
        <v>254</v>
      </c>
      <c r="B633" s="91" t="s">
        <v>2105</v>
      </c>
      <c r="C633" s="121" t="s">
        <v>2130</v>
      </c>
      <c r="D633" s="121" t="s">
        <v>1405</v>
      </c>
      <c r="E633" s="82" t="s">
        <v>2105</v>
      </c>
      <c r="F633" s="316">
        <v>8.4693799999999992</v>
      </c>
      <c r="G633" s="337" t="s">
        <v>1049</v>
      </c>
      <c r="H633" s="101" t="s">
        <v>1969</v>
      </c>
      <c r="I633" s="304">
        <v>63.01</v>
      </c>
      <c r="J633" s="316">
        <v>1.05867</v>
      </c>
      <c r="K633" s="304">
        <v>8</v>
      </c>
      <c r="L633" s="304"/>
      <c r="M633" s="335" t="s">
        <v>1956</v>
      </c>
      <c r="N633" s="101" t="s">
        <v>554</v>
      </c>
      <c r="O633" s="168">
        <v>2020</v>
      </c>
    </row>
    <row r="634" spans="1:15" ht="19.5" x14ac:dyDescent="0.25">
      <c r="A634" s="128"/>
      <c r="B634" s="431" t="s">
        <v>555</v>
      </c>
      <c r="C634" s="431"/>
      <c r="D634" s="431"/>
      <c r="E634" s="431"/>
      <c r="F634" s="245">
        <f>F633</f>
        <v>8.4693799999999992</v>
      </c>
      <c r="G634" s="128"/>
      <c r="H634" s="128"/>
      <c r="I634" s="128"/>
      <c r="J634" s="245">
        <f>J633</f>
        <v>1.05867</v>
      </c>
      <c r="K634" s="128"/>
      <c r="L634" s="128"/>
      <c r="M634" s="128"/>
      <c r="N634" s="128"/>
      <c r="O634" s="231"/>
    </row>
    <row r="635" spans="1:15" ht="37.5" x14ac:dyDescent="0.25">
      <c r="A635" s="128">
        <v>255</v>
      </c>
      <c r="B635" s="91" t="s">
        <v>2105</v>
      </c>
      <c r="C635" s="121" t="s">
        <v>2131</v>
      </c>
      <c r="D635" s="121" t="s">
        <v>1405</v>
      </c>
      <c r="E635" s="82" t="s">
        <v>2105</v>
      </c>
      <c r="F635" s="316">
        <v>6.53043</v>
      </c>
      <c r="G635" s="337" t="s">
        <v>1049</v>
      </c>
      <c r="H635" s="101" t="s">
        <v>1969</v>
      </c>
      <c r="I635" s="304">
        <v>48.58</v>
      </c>
      <c r="J635" s="316">
        <v>0.81599999999999995</v>
      </c>
      <c r="K635" s="304">
        <v>8</v>
      </c>
      <c r="L635" s="304"/>
      <c r="M635" s="335" t="s">
        <v>1956</v>
      </c>
      <c r="N635" s="101" t="s">
        <v>554</v>
      </c>
      <c r="O635" s="168">
        <v>2020</v>
      </c>
    </row>
    <row r="636" spans="1:15" ht="19.5" x14ac:dyDescent="0.25">
      <c r="A636" s="128"/>
      <c r="B636" s="431" t="s">
        <v>555</v>
      </c>
      <c r="C636" s="431"/>
      <c r="D636" s="431"/>
      <c r="E636" s="431"/>
      <c r="F636" s="245">
        <f>F635</f>
        <v>6.53043</v>
      </c>
      <c r="G636" s="128"/>
      <c r="H636" s="128"/>
      <c r="I636" s="128"/>
      <c r="J636" s="245">
        <f>J635</f>
        <v>0.81599999999999995</v>
      </c>
      <c r="K636" s="128"/>
      <c r="L636" s="128"/>
      <c r="M636" s="128"/>
      <c r="N636" s="128"/>
      <c r="O636" s="231"/>
    </row>
    <row r="637" spans="1:15" ht="37.5" x14ac:dyDescent="0.25">
      <c r="A637" s="128">
        <v>256</v>
      </c>
      <c r="B637" s="91" t="s">
        <v>2105</v>
      </c>
      <c r="C637" s="121" t="s">
        <v>2132</v>
      </c>
      <c r="D637" s="121" t="s">
        <v>1405</v>
      </c>
      <c r="E637" s="82" t="s">
        <v>2105</v>
      </c>
      <c r="F637" s="316">
        <v>1.04189</v>
      </c>
      <c r="G637" s="337" t="s">
        <v>1049</v>
      </c>
      <c r="H637" s="101" t="s">
        <v>1969</v>
      </c>
      <c r="I637" s="304">
        <v>183.4</v>
      </c>
      <c r="J637" s="316">
        <v>3.08141</v>
      </c>
      <c r="K637" s="304">
        <v>8</v>
      </c>
      <c r="L637" s="304"/>
      <c r="M637" s="335" t="s">
        <v>1956</v>
      </c>
      <c r="N637" s="101" t="s">
        <v>554</v>
      </c>
      <c r="O637" s="168">
        <v>2020</v>
      </c>
    </row>
    <row r="638" spans="1:15" ht="19.5" x14ac:dyDescent="0.25">
      <c r="A638" s="128"/>
      <c r="B638" s="431" t="s">
        <v>555</v>
      </c>
      <c r="C638" s="431"/>
      <c r="D638" s="431"/>
      <c r="E638" s="431"/>
      <c r="F638" s="245">
        <f>F637</f>
        <v>1.04189</v>
      </c>
      <c r="G638" s="128"/>
      <c r="H638" s="128"/>
      <c r="I638" s="128"/>
      <c r="J638" s="245">
        <f>J637</f>
        <v>3.08141</v>
      </c>
      <c r="K638" s="128"/>
      <c r="L638" s="128"/>
      <c r="M638" s="128"/>
      <c r="N638" s="128"/>
      <c r="O638" s="231"/>
    </row>
    <row r="639" spans="1:15" ht="56.25" x14ac:dyDescent="0.25">
      <c r="A639" s="128">
        <v>257</v>
      </c>
      <c r="B639" s="91" t="s">
        <v>1994</v>
      </c>
      <c r="C639" s="121" t="s">
        <v>2133</v>
      </c>
      <c r="D639" s="121" t="s">
        <v>2163</v>
      </c>
      <c r="E639" s="101" t="s">
        <v>1994</v>
      </c>
      <c r="F639" s="316">
        <v>1000</v>
      </c>
      <c r="G639" s="101" t="s">
        <v>428</v>
      </c>
      <c r="H639" s="101" t="s">
        <v>1961</v>
      </c>
      <c r="I639" s="304">
        <v>7000000</v>
      </c>
      <c r="J639" s="316">
        <v>200</v>
      </c>
      <c r="K639" s="304">
        <v>5</v>
      </c>
      <c r="L639" s="304"/>
      <c r="M639" s="335" t="s">
        <v>1956</v>
      </c>
      <c r="N639" s="101" t="s">
        <v>859</v>
      </c>
      <c r="O639" s="168">
        <v>2020</v>
      </c>
    </row>
    <row r="640" spans="1:15" ht="19.5" x14ac:dyDescent="0.25">
      <c r="A640" s="128"/>
      <c r="B640" s="431" t="s">
        <v>555</v>
      </c>
      <c r="C640" s="431"/>
      <c r="D640" s="431"/>
      <c r="E640" s="431"/>
      <c r="F640" s="245">
        <f>F639</f>
        <v>1000</v>
      </c>
      <c r="G640" s="128"/>
      <c r="H640" s="128"/>
      <c r="I640" s="128"/>
      <c r="J640" s="245">
        <f>J639</f>
        <v>200</v>
      </c>
      <c r="K640" s="128"/>
      <c r="L640" s="128"/>
      <c r="M640" s="128"/>
      <c r="N640" s="128"/>
      <c r="O640" s="231"/>
    </row>
    <row r="641" spans="1:15" ht="37.5" x14ac:dyDescent="0.25">
      <c r="A641" s="128">
        <v>258</v>
      </c>
      <c r="B641" s="91" t="s">
        <v>2003</v>
      </c>
      <c r="C641" s="121" t="s">
        <v>1519</v>
      </c>
      <c r="D641" s="121" t="s">
        <v>2201</v>
      </c>
      <c r="E641" s="101" t="s">
        <v>2003</v>
      </c>
      <c r="F641" s="316">
        <v>1.2091000000000001</v>
      </c>
      <c r="G641" s="324" t="s">
        <v>1217</v>
      </c>
      <c r="H641" s="101" t="s">
        <v>1961</v>
      </c>
      <c r="I641" s="304">
        <v>26320</v>
      </c>
      <c r="J641" s="316">
        <v>0.33679999999999999</v>
      </c>
      <c r="K641" s="305">
        <v>3.58</v>
      </c>
      <c r="L641" s="305"/>
      <c r="M641" s="293" t="s">
        <v>864</v>
      </c>
      <c r="N641" s="101" t="s">
        <v>554</v>
      </c>
      <c r="O641" s="168">
        <v>2023</v>
      </c>
    </row>
    <row r="642" spans="1:15" ht="19.5" x14ac:dyDescent="0.25">
      <c r="A642" s="128"/>
      <c r="B642" s="431" t="s">
        <v>555</v>
      </c>
      <c r="C642" s="431"/>
      <c r="D642" s="431"/>
      <c r="E642" s="431"/>
      <c r="F642" s="245">
        <f>F641</f>
        <v>1.2091000000000001</v>
      </c>
      <c r="G642" s="128"/>
      <c r="H642" s="128"/>
      <c r="I642" s="128"/>
      <c r="J642" s="245">
        <f>J641</f>
        <v>0.33679999999999999</v>
      </c>
      <c r="K642" s="128"/>
      <c r="L642" s="128"/>
      <c r="M642" s="128"/>
      <c r="N642" s="128"/>
      <c r="O642" s="231"/>
    </row>
    <row r="643" spans="1:15" ht="18.75" customHeight="1" x14ac:dyDescent="0.25">
      <c r="A643" s="447">
        <v>259</v>
      </c>
      <c r="B643" s="549" t="s">
        <v>2174</v>
      </c>
      <c r="C643" s="121" t="s">
        <v>1519</v>
      </c>
      <c r="D643" s="121" t="s">
        <v>2176</v>
      </c>
      <c r="E643" s="449" t="s">
        <v>2174</v>
      </c>
      <c r="F643" s="316">
        <v>2.02</v>
      </c>
      <c r="G643" s="324" t="s">
        <v>1217</v>
      </c>
      <c r="H643" s="101" t="s">
        <v>1961</v>
      </c>
      <c r="I643" s="304">
        <v>8760</v>
      </c>
      <c r="J643" s="316">
        <v>0.1905</v>
      </c>
      <c r="K643" s="305">
        <v>10.6</v>
      </c>
      <c r="L643" s="305"/>
      <c r="M643" s="449" t="s">
        <v>1834</v>
      </c>
      <c r="N643" s="449" t="s">
        <v>554</v>
      </c>
      <c r="O643" s="168">
        <v>2023</v>
      </c>
    </row>
    <row r="644" spans="1:15" ht="18.75" customHeight="1" x14ac:dyDescent="0.25">
      <c r="A644" s="448"/>
      <c r="B644" s="550"/>
      <c r="C644" s="121" t="s">
        <v>1833</v>
      </c>
      <c r="D644" s="121" t="s">
        <v>2202</v>
      </c>
      <c r="E644" s="433"/>
      <c r="F644" s="316">
        <v>1.9084000000000001</v>
      </c>
      <c r="G644" s="116"/>
      <c r="H644" s="101" t="s">
        <v>1961</v>
      </c>
      <c r="I644" s="304">
        <v>514</v>
      </c>
      <c r="J644" s="316">
        <v>3.1362999999999999</v>
      </c>
      <c r="K644" s="305">
        <v>0.6</v>
      </c>
      <c r="L644" s="305"/>
      <c r="M644" s="433"/>
      <c r="N644" s="433"/>
      <c r="O644" s="168">
        <v>2023</v>
      </c>
    </row>
    <row r="645" spans="1:15" ht="19.5" x14ac:dyDescent="0.25">
      <c r="A645" s="128"/>
      <c r="B645" s="431" t="s">
        <v>555</v>
      </c>
      <c r="C645" s="431"/>
      <c r="D645" s="431"/>
      <c r="E645" s="431"/>
      <c r="F645" s="245">
        <f>F643+F644</f>
        <v>3.9283999999999999</v>
      </c>
      <c r="G645" s="128"/>
      <c r="H645" s="128"/>
      <c r="I645" s="128"/>
      <c r="J645" s="245">
        <f>J643+J644</f>
        <v>3.3268</v>
      </c>
      <c r="K645" s="128"/>
      <c r="L645" s="128"/>
      <c r="M645" s="128"/>
      <c r="N645" s="128"/>
      <c r="O645" s="231"/>
    </row>
    <row r="646" spans="1:15" ht="18.75" x14ac:dyDescent="0.25">
      <c r="A646" s="447">
        <v>260</v>
      </c>
      <c r="B646" s="549" t="s">
        <v>1979</v>
      </c>
      <c r="C646" s="121" t="s">
        <v>1519</v>
      </c>
      <c r="D646" s="121" t="s">
        <v>2037</v>
      </c>
      <c r="E646" s="449" t="s">
        <v>1979</v>
      </c>
      <c r="F646" s="316">
        <v>23.713999999999999</v>
      </c>
      <c r="G646" s="324" t="s">
        <v>1217</v>
      </c>
      <c r="H646" s="101" t="s">
        <v>1961</v>
      </c>
      <c r="I646" s="304">
        <v>3450082</v>
      </c>
      <c r="J646" s="316">
        <v>34.432000000000002</v>
      </c>
      <c r="K646" s="305">
        <v>0.7</v>
      </c>
      <c r="L646" s="305"/>
      <c r="M646" s="449" t="s">
        <v>1951</v>
      </c>
      <c r="N646" s="449" t="s">
        <v>554</v>
      </c>
      <c r="O646" s="168">
        <v>2023</v>
      </c>
    </row>
    <row r="647" spans="1:15" ht="37.5" x14ac:dyDescent="0.25">
      <c r="A647" s="491"/>
      <c r="B647" s="552"/>
      <c r="C647" s="121" t="s">
        <v>1519</v>
      </c>
      <c r="D647" s="121" t="s">
        <v>2033</v>
      </c>
      <c r="E647" s="490"/>
      <c r="F647" s="316">
        <v>92.388000000000005</v>
      </c>
      <c r="G647" s="328"/>
      <c r="H647" s="101" t="s">
        <v>1961</v>
      </c>
      <c r="I647" s="304">
        <v>569462</v>
      </c>
      <c r="J647" s="316">
        <v>5.6829999999999998</v>
      </c>
      <c r="K647" s="305">
        <v>16.2</v>
      </c>
      <c r="L647" s="305"/>
      <c r="M647" s="490"/>
      <c r="N647" s="490"/>
      <c r="O647" s="168">
        <v>2023</v>
      </c>
    </row>
    <row r="648" spans="1:15" ht="18.75" x14ac:dyDescent="0.25">
      <c r="A648" s="448"/>
      <c r="B648" s="550"/>
      <c r="C648" s="121" t="s">
        <v>1519</v>
      </c>
      <c r="D648" s="121" t="s">
        <v>827</v>
      </c>
      <c r="E648" s="433"/>
      <c r="F648" s="316">
        <v>30.503</v>
      </c>
      <c r="G648" s="116"/>
      <c r="H648" s="101" t="s">
        <v>1961</v>
      </c>
      <c r="I648" s="304">
        <v>401933</v>
      </c>
      <c r="J648" s="316">
        <v>4.0110000000000001</v>
      </c>
      <c r="K648" s="305">
        <v>7.6</v>
      </c>
      <c r="L648" s="305"/>
      <c r="M648" s="433"/>
      <c r="N648" s="433"/>
      <c r="O648" s="168">
        <v>2023</v>
      </c>
    </row>
    <row r="649" spans="1:15" ht="19.5" x14ac:dyDescent="0.25">
      <c r="A649" s="128"/>
      <c r="B649" s="431" t="s">
        <v>555</v>
      </c>
      <c r="C649" s="431"/>
      <c r="D649" s="431"/>
      <c r="E649" s="431"/>
      <c r="F649" s="245">
        <f>F648+F646+F647</f>
        <v>146.60500000000002</v>
      </c>
      <c r="G649" s="128"/>
      <c r="H649" s="128"/>
      <c r="I649" s="128"/>
      <c r="J649" s="245">
        <f>J648+J646+J647</f>
        <v>44.126000000000005</v>
      </c>
      <c r="K649" s="128"/>
      <c r="L649" s="128"/>
      <c r="M649" s="128"/>
      <c r="N649" s="128"/>
      <c r="O649" s="231"/>
    </row>
    <row r="650" spans="1:15" ht="56.25" x14ac:dyDescent="0.25">
      <c r="A650" s="447">
        <v>261</v>
      </c>
      <c r="B650" s="549" t="s">
        <v>1980</v>
      </c>
      <c r="C650" s="121" t="s">
        <v>1519</v>
      </c>
      <c r="D650" s="121" t="s">
        <v>2038</v>
      </c>
      <c r="E650" s="449" t="s">
        <v>1980</v>
      </c>
      <c r="F650" s="316">
        <v>8.9369999999999994</v>
      </c>
      <c r="G650" s="324" t="s">
        <v>1217</v>
      </c>
      <c r="H650" s="101" t="s">
        <v>1961</v>
      </c>
      <c r="I650" s="304">
        <v>34300</v>
      </c>
      <c r="J650" s="316">
        <v>0.73</v>
      </c>
      <c r="K650" s="304">
        <v>12.2</v>
      </c>
      <c r="L650" s="304"/>
      <c r="M650" s="449" t="s">
        <v>865</v>
      </c>
      <c r="N650" s="449" t="s">
        <v>554</v>
      </c>
      <c r="O650" s="168">
        <v>2023</v>
      </c>
    </row>
    <row r="651" spans="1:15" ht="56.25" customHeight="1" x14ac:dyDescent="0.25">
      <c r="A651" s="448"/>
      <c r="B651" s="550"/>
      <c r="C651" s="121" t="s">
        <v>1519</v>
      </c>
      <c r="D651" s="121" t="s">
        <v>2182</v>
      </c>
      <c r="E651" s="433"/>
      <c r="F651" s="316">
        <v>27.439</v>
      </c>
      <c r="G651" s="116"/>
      <c r="H651" s="101" t="s">
        <v>1961</v>
      </c>
      <c r="I651" s="304">
        <v>208065</v>
      </c>
      <c r="J651" s="316">
        <v>4.4279999999999999</v>
      </c>
      <c r="K651" s="304">
        <v>6.2</v>
      </c>
      <c r="L651" s="304"/>
      <c r="M651" s="433"/>
      <c r="N651" s="433"/>
      <c r="O651" s="168">
        <v>2023</v>
      </c>
    </row>
    <row r="652" spans="1:15" ht="19.5" x14ac:dyDescent="0.25">
      <c r="A652" s="128"/>
      <c r="B652" s="431" t="s">
        <v>555</v>
      </c>
      <c r="C652" s="431"/>
      <c r="D652" s="431"/>
      <c r="E652" s="431"/>
      <c r="F652" s="245">
        <f>F651+F650</f>
        <v>36.375999999999998</v>
      </c>
      <c r="G652" s="128"/>
      <c r="H652" s="128"/>
      <c r="I652" s="128"/>
      <c r="J652" s="245">
        <f>J651+J650</f>
        <v>5.1579999999999995</v>
      </c>
      <c r="K652" s="128"/>
      <c r="L652" s="128"/>
      <c r="M652" s="128"/>
      <c r="N652" s="128"/>
      <c r="O652" s="231"/>
    </row>
    <row r="653" spans="1:15" ht="37.5" x14ac:dyDescent="0.25">
      <c r="A653" s="128">
        <v>262</v>
      </c>
      <c r="B653" s="91" t="s">
        <v>2049</v>
      </c>
      <c r="C653" s="121" t="s">
        <v>1519</v>
      </c>
      <c r="D653" s="121" t="s">
        <v>2058</v>
      </c>
      <c r="E653" s="82" t="s">
        <v>2049</v>
      </c>
      <c r="F653" s="316">
        <v>0.13150000000000001</v>
      </c>
      <c r="G653" s="324" t="s">
        <v>1217</v>
      </c>
      <c r="H653" s="101" t="s">
        <v>1961</v>
      </c>
      <c r="I653" s="304">
        <v>3095</v>
      </c>
      <c r="J653" s="316">
        <v>0.11119999999999999</v>
      </c>
      <c r="K653" s="304">
        <v>1.2</v>
      </c>
      <c r="L653" s="304"/>
      <c r="M653" s="101" t="s">
        <v>1954</v>
      </c>
      <c r="N653" s="101" t="s">
        <v>554</v>
      </c>
      <c r="O653" s="168"/>
    </row>
    <row r="654" spans="1:15" ht="19.5" x14ac:dyDescent="0.25">
      <c r="A654" s="128"/>
      <c r="B654" s="431" t="s">
        <v>555</v>
      </c>
      <c r="C654" s="431"/>
      <c r="D654" s="431"/>
      <c r="E654" s="431"/>
      <c r="F654" s="245">
        <f>F653</f>
        <v>0.13150000000000001</v>
      </c>
      <c r="G654" s="128"/>
      <c r="H654" s="128"/>
      <c r="I654" s="128"/>
      <c r="J654" s="245">
        <f>J653</f>
        <v>0.11119999999999999</v>
      </c>
      <c r="K654" s="128"/>
      <c r="L654" s="128"/>
      <c r="M654" s="128"/>
      <c r="N654" s="128"/>
      <c r="O654" s="231"/>
    </row>
    <row r="655" spans="1:15" ht="18.75" customHeight="1" x14ac:dyDescent="0.25">
      <c r="A655" s="447">
        <v>263</v>
      </c>
      <c r="B655" s="549" t="s">
        <v>2063</v>
      </c>
      <c r="C655" s="121" t="s">
        <v>1519</v>
      </c>
      <c r="D655" s="121" t="s">
        <v>827</v>
      </c>
      <c r="E655" s="449" t="s">
        <v>2063</v>
      </c>
      <c r="F655" s="316">
        <v>1.1297999999999999</v>
      </c>
      <c r="G655" s="324" t="s">
        <v>1217</v>
      </c>
      <c r="H655" s="101" t="s">
        <v>37</v>
      </c>
      <c r="I655" s="304">
        <v>56.7</v>
      </c>
      <c r="J655" s="316">
        <v>0.1227</v>
      </c>
      <c r="K655" s="304">
        <v>19.399999999999999</v>
      </c>
      <c r="L655" s="304"/>
      <c r="M655" s="449" t="s">
        <v>1299</v>
      </c>
      <c r="N655" s="449" t="s">
        <v>554</v>
      </c>
      <c r="O655" s="556"/>
    </row>
    <row r="656" spans="1:15" ht="18.75" customHeight="1" x14ac:dyDescent="0.25">
      <c r="A656" s="448"/>
      <c r="B656" s="550"/>
      <c r="C656" s="121" t="s">
        <v>1803</v>
      </c>
      <c r="D656" s="121" t="s">
        <v>2054</v>
      </c>
      <c r="E656" s="433"/>
      <c r="F656" s="316">
        <v>6.4814999999999996</v>
      </c>
      <c r="G656" s="116"/>
      <c r="H656" s="101" t="s">
        <v>1961</v>
      </c>
      <c r="I656" s="304">
        <v>28806</v>
      </c>
      <c r="J656" s="316">
        <v>0.33300000000000002</v>
      </c>
      <c r="K656" s="304">
        <v>12.8</v>
      </c>
      <c r="L656" s="304"/>
      <c r="M656" s="433"/>
      <c r="N656" s="433"/>
      <c r="O656" s="537"/>
    </row>
    <row r="657" spans="1:15" ht="19.5" x14ac:dyDescent="0.25">
      <c r="A657" s="128"/>
      <c r="B657" s="431" t="s">
        <v>555</v>
      </c>
      <c r="C657" s="431"/>
      <c r="D657" s="431"/>
      <c r="E657" s="431"/>
      <c r="F657" s="245">
        <f>F655+F656</f>
        <v>7.6113</v>
      </c>
      <c r="G657" s="128"/>
      <c r="H657" s="128"/>
      <c r="I657" s="128"/>
      <c r="J657" s="245">
        <f>J655+J656</f>
        <v>0.45569999999999999</v>
      </c>
      <c r="K657" s="128"/>
      <c r="L657" s="128"/>
      <c r="M657" s="128"/>
      <c r="N657" s="128"/>
      <c r="O657" s="231"/>
    </row>
    <row r="658" spans="1:15" ht="18.75" x14ac:dyDescent="0.25">
      <c r="A658" s="447">
        <v>264</v>
      </c>
      <c r="B658" s="549" t="s">
        <v>2050</v>
      </c>
      <c r="C658" s="121" t="s">
        <v>1519</v>
      </c>
      <c r="D658" s="121" t="s">
        <v>2059</v>
      </c>
      <c r="E658" s="449" t="s">
        <v>2050</v>
      </c>
      <c r="F658" s="316">
        <v>6.2774000000000001</v>
      </c>
      <c r="G658" s="324" t="s">
        <v>1217</v>
      </c>
      <c r="H658" s="101" t="s">
        <v>1961</v>
      </c>
      <c r="I658" s="304">
        <v>28806</v>
      </c>
      <c r="J658" s="316">
        <v>0.48970000000000002</v>
      </c>
      <c r="K658" s="304">
        <v>12.8</v>
      </c>
      <c r="L658" s="304"/>
      <c r="M658" s="449" t="s">
        <v>1299</v>
      </c>
      <c r="N658" s="449" t="s">
        <v>554</v>
      </c>
      <c r="O658" s="556"/>
    </row>
    <row r="659" spans="1:15" ht="18.75" customHeight="1" x14ac:dyDescent="0.25">
      <c r="A659" s="491"/>
      <c r="B659" s="552"/>
      <c r="C659" s="121" t="s">
        <v>1805</v>
      </c>
      <c r="D659" s="121" t="s">
        <v>2204</v>
      </c>
      <c r="E659" s="490"/>
      <c r="F659" s="316">
        <v>0.97750000000000004</v>
      </c>
      <c r="G659" s="328"/>
      <c r="H659" s="101" t="s">
        <v>37</v>
      </c>
      <c r="I659" s="304">
        <v>13.16</v>
      </c>
      <c r="J659" s="316">
        <v>7.9799999999999996E-2</v>
      </c>
      <c r="K659" s="304">
        <v>13.2</v>
      </c>
      <c r="L659" s="304"/>
      <c r="M659" s="490"/>
      <c r="N659" s="490"/>
      <c r="O659" s="557"/>
    </row>
    <row r="660" spans="1:15" ht="18.75" customHeight="1" x14ac:dyDescent="0.25">
      <c r="A660" s="448"/>
      <c r="B660" s="550"/>
      <c r="C660" s="121" t="s">
        <v>1803</v>
      </c>
      <c r="D660" s="121" t="s">
        <v>2054</v>
      </c>
      <c r="E660" s="433"/>
      <c r="F660" s="316">
        <v>7.45</v>
      </c>
      <c r="G660" s="116"/>
      <c r="H660" s="101" t="s">
        <v>37</v>
      </c>
      <c r="I660" s="304">
        <v>89.5</v>
      </c>
      <c r="J660" s="316">
        <v>0.50180000000000002</v>
      </c>
      <c r="K660" s="304">
        <v>14.9</v>
      </c>
      <c r="L660" s="304"/>
      <c r="M660" s="433"/>
      <c r="N660" s="433"/>
      <c r="O660" s="537"/>
    </row>
    <row r="661" spans="1:15" ht="19.5" x14ac:dyDescent="0.25">
      <c r="A661" s="128"/>
      <c r="B661" s="431" t="s">
        <v>555</v>
      </c>
      <c r="C661" s="431"/>
      <c r="D661" s="431"/>
      <c r="E661" s="431"/>
      <c r="F661" s="245">
        <f>F660+F658+F659</f>
        <v>14.704899999999999</v>
      </c>
      <c r="G661" s="130"/>
      <c r="H661" s="130"/>
      <c r="I661" s="130"/>
      <c r="J661" s="245">
        <f>J660+J658+J659</f>
        <v>1.0713000000000001</v>
      </c>
      <c r="K661" s="128"/>
      <c r="L661" s="128"/>
      <c r="M661" s="128"/>
      <c r="N661" s="128"/>
      <c r="O661" s="231"/>
    </row>
    <row r="662" spans="1:15" ht="18.75" customHeight="1" x14ac:dyDescent="0.25">
      <c r="A662" s="447">
        <v>265</v>
      </c>
      <c r="B662" s="549" t="s">
        <v>2051</v>
      </c>
      <c r="C662" s="121" t="s">
        <v>2054</v>
      </c>
      <c r="D662" s="121" t="s">
        <v>2054</v>
      </c>
      <c r="E662" s="449" t="s">
        <v>1807</v>
      </c>
      <c r="F662" s="316">
        <v>3.85</v>
      </c>
      <c r="G662" s="324" t="s">
        <v>1217</v>
      </c>
      <c r="H662" s="101" t="s">
        <v>1959</v>
      </c>
      <c r="I662" s="304">
        <v>15.04</v>
      </c>
      <c r="J662" s="316">
        <v>0.47239999999999999</v>
      </c>
      <c r="K662" s="304">
        <v>8.1</v>
      </c>
      <c r="L662" s="304"/>
      <c r="M662" s="449" t="s">
        <v>1299</v>
      </c>
      <c r="N662" s="449" t="s">
        <v>554</v>
      </c>
      <c r="O662" s="168"/>
    </row>
    <row r="663" spans="1:15" ht="18.75" customHeight="1" x14ac:dyDescent="0.25">
      <c r="A663" s="448"/>
      <c r="B663" s="550"/>
      <c r="C663" s="121" t="s">
        <v>1519</v>
      </c>
      <c r="D663" s="121" t="s">
        <v>2165</v>
      </c>
      <c r="E663" s="433"/>
      <c r="F663" s="316">
        <v>15.896699999999999</v>
      </c>
      <c r="G663" s="116"/>
      <c r="H663" s="101" t="s">
        <v>1959</v>
      </c>
      <c r="I663" s="304">
        <v>7.66</v>
      </c>
      <c r="J663" s="316">
        <v>1.1596</v>
      </c>
      <c r="K663" s="304">
        <v>13.7</v>
      </c>
      <c r="L663" s="304"/>
      <c r="M663" s="433"/>
      <c r="N663" s="433"/>
      <c r="O663" s="168"/>
    </row>
    <row r="664" spans="1:15" ht="19.5" x14ac:dyDescent="0.25">
      <c r="A664" s="128"/>
      <c r="B664" s="431" t="s">
        <v>555</v>
      </c>
      <c r="C664" s="431"/>
      <c r="D664" s="431"/>
      <c r="E664" s="431"/>
      <c r="F664" s="245">
        <f>F662+F663</f>
        <v>19.746700000000001</v>
      </c>
      <c r="G664" s="128"/>
      <c r="H664" s="128"/>
      <c r="I664" s="128"/>
      <c r="J664" s="245">
        <f>J662+J663</f>
        <v>1.6319999999999999</v>
      </c>
      <c r="K664" s="128"/>
      <c r="L664" s="128"/>
      <c r="M664" s="128"/>
      <c r="N664" s="128"/>
      <c r="O664" s="231"/>
    </row>
    <row r="665" spans="1:15" ht="37.5" x14ac:dyDescent="0.25">
      <c r="A665" s="447">
        <v>266</v>
      </c>
      <c r="B665" s="549" t="s">
        <v>2067</v>
      </c>
      <c r="C665" s="121" t="s">
        <v>1519</v>
      </c>
      <c r="D665" s="121" t="s">
        <v>2079</v>
      </c>
      <c r="E665" s="449" t="s">
        <v>2067</v>
      </c>
      <c r="F665" s="316">
        <v>2.8271000000000002</v>
      </c>
      <c r="G665" s="324" t="s">
        <v>1217</v>
      </c>
      <c r="H665" s="101" t="s">
        <v>1961</v>
      </c>
      <c r="I665" s="304">
        <v>12978</v>
      </c>
      <c r="J665" s="316">
        <v>0.24660000000000001</v>
      </c>
      <c r="K665" s="304">
        <v>11</v>
      </c>
      <c r="L665" s="304"/>
      <c r="M665" s="449" t="s">
        <v>1299</v>
      </c>
      <c r="N665" s="449" t="s">
        <v>554</v>
      </c>
      <c r="O665" s="556"/>
    </row>
    <row r="666" spans="1:15" ht="18.75" x14ac:dyDescent="0.25">
      <c r="A666" s="491"/>
      <c r="B666" s="552"/>
      <c r="C666" s="121" t="s">
        <v>1805</v>
      </c>
      <c r="D666" s="121" t="s">
        <v>2205</v>
      </c>
      <c r="E666" s="490"/>
      <c r="F666" s="316">
        <v>0.97750000000000004</v>
      </c>
      <c r="G666" s="328"/>
      <c r="H666" s="101" t="s">
        <v>37</v>
      </c>
      <c r="I666" s="304">
        <v>13.9</v>
      </c>
      <c r="J666" s="316">
        <v>6.7199999999999996E-2</v>
      </c>
      <c r="K666" s="304">
        <v>14.5</v>
      </c>
      <c r="L666" s="304"/>
      <c r="M666" s="490"/>
      <c r="N666" s="490"/>
      <c r="O666" s="557"/>
    </row>
    <row r="667" spans="1:15" ht="18.75" x14ac:dyDescent="0.25">
      <c r="A667" s="491"/>
      <c r="B667" s="552"/>
      <c r="C667" s="121" t="s">
        <v>1803</v>
      </c>
      <c r="D667" s="121" t="s">
        <v>2203</v>
      </c>
      <c r="E667" s="490"/>
      <c r="F667" s="316">
        <v>7.45</v>
      </c>
      <c r="G667" s="328"/>
      <c r="H667" s="101" t="s">
        <v>37</v>
      </c>
      <c r="I667" s="304">
        <v>92.7</v>
      </c>
      <c r="J667" s="316">
        <v>0.43790000000000001</v>
      </c>
      <c r="K667" s="304">
        <v>17</v>
      </c>
      <c r="L667" s="304"/>
      <c r="M667" s="490"/>
      <c r="N667" s="490"/>
      <c r="O667" s="557"/>
    </row>
    <row r="668" spans="1:15" ht="37.5" x14ac:dyDescent="0.25">
      <c r="A668" s="491"/>
      <c r="B668" s="552"/>
      <c r="C668" s="121" t="s">
        <v>1519</v>
      </c>
      <c r="D668" s="121" t="s">
        <v>2183</v>
      </c>
      <c r="E668" s="490"/>
      <c r="F668" s="316">
        <v>2.3530000000000002</v>
      </c>
      <c r="G668" s="328"/>
      <c r="H668" s="101" t="s">
        <v>1961</v>
      </c>
      <c r="I668" s="304">
        <v>11130</v>
      </c>
      <c r="J668" s="316">
        <v>0.21149999999999999</v>
      </c>
      <c r="K668" s="304">
        <v>11</v>
      </c>
      <c r="L668" s="304"/>
      <c r="M668" s="490"/>
      <c r="N668" s="490"/>
      <c r="O668" s="557"/>
    </row>
    <row r="669" spans="1:15" ht="18.75" x14ac:dyDescent="0.25">
      <c r="A669" s="448"/>
      <c r="B669" s="550"/>
      <c r="C669" s="121" t="s">
        <v>1805</v>
      </c>
      <c r="D669" s="121" t="s">
        <v>1814</v>
      </c>
      <c r="E669" s="433"/>
      <c r="F669" s="316">
        <v>0.97750000000000004</v>
      </c>
      <c r="G669" s="116"/>
      <c r="H669" s="101" t="s">
        <v>37</v>
      </c>
      <c r="I669" s="304">
        <v>13.9</v>
      </c>
      <c r="J669" s="316">
        <v>6.7500000000000004E-2</v>
      </c>
      <c r="K669" s="304">
        <v>14.5</v>
      </c>
      <c r="L669" s="304"/>
      <c r="M669" s="433"/>
      <c r="N669" s="433"/>
      <c r="O669" s="537"/>
    </row>
    <row r="670" spans="1:15" ht="19.5" x14ac:dyDescent="0.25">
      <c r="A670" s="128"/>
      <c r="B670" s="431" t="s">
        <v>555</v>
      </c>
      <c r="C670" s="431"/>
      <c r="D670" s="431"/>
      <c r="E670" s="431"/>
      <c r="F670" s="245">
        <f>F669+F665+F666+F667+F668</f>
        <v>14.585099999999999</v>
      </c>
      <c r="G670" s="156"/>
      <c r="H670" s="156"/>
      <c r="I670" s="156"/>
      <c r="J670" s="245">
        <f>J669+J665+J666+J667+J668</f>
        <v>1.0306999999999999</v>
      </c>
      <c r="K670" s="156"/>
      <c r="L670" s="156"/>
      <c r="M670" s="128"/>
      <c r="N670" s="128"/>
      <c r="O670" s="231"/>
    </row>
    <row r="671" spans="1:15" ht="56.25" x14ac:dyDescent="0.25">
      <c r="A671" s="128">
        <v>267</v>
      </c>
      <c r="B671" s="91" t="s">
        <v>2085</v>
      </c>
      <c r="C671" s="142" t="s">
        <v>2088</v>
      </c>
      <c r="D671" s="121" t="s">
        <v>2097</v>
      </c>
      <c r="E671" s="82" t="s">
        <v>2085</v>
      </c>
      <c r="F671" s="316">
        <v>1.4039999999999999</v>
      </c>
      <c r="G671" s="324" t="s">
        <v>1217</v>
      </c>
      <c r="H671" s="101" t="s">
        <v>1961</v>
      </c>
      <c r="I671" s="304">
        <v>13860</v>
      </c>
      <c r="J671" s="316">
        <v>0.3377</v>
      </c>
      <c r="K671" s="304">
        <v>5</v>
      </c>
      <c r="L671" s="304"/>
      <c r="M671" s="101" t="s">
        <v>1955</v>
      </c>
      <c r="N671" s="101" t="s">
        <v>554</v>
      </c>
      <c r="O671" s="168"/>
    </row>
    <row r="672" spans="1:15" ht="19.5" x14ac:dyDescent="0.25">
      <c r="A672" s="128"/>
      <c r="B672" s="431" t="s">
        <v>555</v>
      </c>
      <c r="C672" s="431"/>
      <c r="D672" s="431"/>
      <c r="E672" s="431"/>
      <c r="F672" s="245">
        <f>F671</f>
        <v>1.4039999999999999</v>
      </c>
      <c r="G672" s="128"/>
      <c r="H672" s="128"/>
      <c r="I672" s="128"/>
      <c r="J672" s="245">
        <f>J671</f>
        <v>0.3377</v>
      </c>
      <c r="K672" s="128"/>
      <c r="L672" s="128"/>
      <c r="M672" s="128"/>
      <c r="N672" s="128"/>
      <c r="O672" s="231"/>
    </row>
    <row r="673" spans="1:15" ht="37.5" x14ac:dyDescent="0.25">
      <c r="A673" s="128">
        <v>268</v>
      </c>
      <c r="B673" s="91" t="s">
        <v>2102</v>
      </c>
      <c r="C673" s="142" t="s">
        <v>2089</v>
      </c>
      <c r="D673" s="121" t="s">
        <v>2089</v>
      </c>
      <c r="E673" s="101" t="s">
        <v>1816</v>
      </c>
      <c r="F673" s="316">
        <v>1.7696000000000001</v>
      </c>
      <c r="G673" s="324" t="s">
        <v>1217</v>
      </c>
      <c r="H673" s="101" t="s">
        <v>1961</v>
      </c>
      <c r="I673" s="304">
        <v>5300</v>
      </c>
      <c r="J673" s="316">
        <v>0.1991</v>
      </c>
      <c r="K673" s="304">
        <v>8.9</v>
      </c>
      <c r="L673" s="304"/>
      <c r="M673" s="101" t="s">
        <v>1955</v>
      </c>
      <c r="N673" s="101" t="s">
        <v>554</v>
      </c>
      <c r="O673" s="168"/>
    </row>
    <row r="674" spans="1:15" ht="19.5" x14ac:dyDescent="0.25">
      <c r="A674" s="128"/>
      <c r="B674" s="431" t="s">
        <v>555</v>
      </c>
      <c r="C674" s="431"/>
      <c r="D674" s="431"/>
      <c r="E674" s="431"/>
      <c r="F674" s="245">
        <f>F673</f>
        <v>1.7696000000000001</v>
      </c>
      <c r="G674" s="128"/>
      <c r="H674" s="128"/>
      <c r="I674" s="128"/>
      <c r="J674" s="245">
        <f>J673</f>
        <v>0.1991</v>
      </c>
      <c r="K674" s="128"/>
      <c r="L674" s="128"/>
      <c r="M674" s="128"/>
      <c r="N674" s="128"/>
      <c r="O674" s="231"/>
    </row>
    <row r="675" spans="1:15" ht="37.5" x14ac:dyDescent="0.25">
      <c r="A675" s="128">
        <v>269</v>
      </c>
      <c r="B675" s="91" t="s">
        <v>2004</v>
      </c>
      <c r="C675" s="121" t="s">
        <v>2134</v>
      </c>
      <c r="D675" s="121" t="s">
        <v>2164</v>
      </c>
      <c r="E675" s="101" t="s">
        <v>2004</v>
      </c>
      <c r="F675" s="316">
        <v>1.35</v>
      </c>
      <c r="G675" s="324" t="s">
        <v>1217</v>
      </c>
      <c r="H675" s="101" t="s">
        <v>1961</v>
      </c>
      <c r="I675" s="304">
        <v>16200</v>
      </c>
      <c r="J675" s="316">
        <v>0.48299999999999998</v>
      </c>
      <c r="K675" s="304">
        <v>5</v>
      </c>
      <c r="L675" s="304"/>
      <c r="M675" s="101" t="s">
        <v>1953</v>
      </c>
      <c r="N675" s="101" t="s">
        <v>554</v>
      </c>
      <c r="O675" s="168"/>
    </row>
    <row r="676" spans="1:15" ht="19.5" x14ac:dyDescent="0.25">
      <c r="A676" s="128"/>
      <c r="B676" s="431" t="s">
        <v>555</v>
      </c>
      <c r="C676" s="431"/>
      <c r="D676" s="431"/>
      <c r="E676" s="431"/>
      <c r="F676" s="245">
        <f>F675</f>
        <v>1.35</v>
      </c>
      <c r="G676" s="128"/>
      <c r="H676" s="128"/>
      <c r="I676" s="128"/>
      <c r="J676" s="245">
        <f>J675</f>
        <v>0.48299999999999998</v>
      </c>
      <c r="K676" s="128"/>
      <c r="L676" s="128"/>
      <c r="M676" s="128"/>
      <c r="N676" s="128"/>
      <c r="O676" s="231"/>
    </row>
    <row r="677" spans="1:15" ht="56.25" x14ac:dyDescent="0.25">
      <c r="A677" s="128">
        <v>270</v>
      </c>
      <c r="B677" s="91" t="s">
        <v>2005</v>
      </c>
      <c r="C677" s="121" t="s">
        <v>1519</v>
      </c>
      <c r="D677" s="121" t="s">
        <v>2165</v>
      </c>
      <c r="E677" s="101" t="s">
        <v>2005</v>
      </c>
      <c r="F677" s="316">
        <v>3.27</v>
      </c>
      <c r="G677" s="324" t="s">
        <v>1217</v>
      </c>
      <c r="H677" s="101" t="s">
        <v>1959</v>
      </c>
      <c r="I677" s="304">
        <v>150.04</v>
      </c>
      <c r="J677" s="316">
        <v>1.22</v>
      </c>
      <c r="K677" s="304">
        <v>2.7</v>
      </c>
      <c r="L677" s="304"/>
      <c r="M677" s="101" t="s">
        <v>1951</v>
      </c>
      <c r="N677" s="101" t="s">
        <v>554</v>
      </c>
      <c r="O677" s="168"/>
    </row>
    <row r="678" spans="1:15" ht="19.5" x14ac:dyDescent="0.25">
      <c r="A678" s="128"/>
      <c r="B678" s="431" t="s">
        <v>555</v>
      </c>
      <c r="C678" s="431"/>
      <c r="D678" s="431"/>
      <c r="E678" s="431"/>
      <c r="F678" s="245">
        <f>F677</f>
        <v>3.27</v>
      </c>
      <c r="G678" s="128"/>
      <c r="H678" s="128"/>
      <c r="I678" s="128"/>
      <c r="J678" s="245">
        <f>J677</f>
        <v>1.22</v>
      </c>
      <c r="K678" s="128"/>
      <c r="L678" s="128"/>
      <c r="M678" s="128"/>
      <c r="N678" s="128"/>
      <c r="O678" s="231"/>
    </row>
    <row r="679" spans="1:15" ht="37.5" x14ac:dyDescent="0.25">
      <c r="A679" s="447">
        <v>271</v>
      </c>
      <c r="B679" s="549" t="s">
        <v>2006</v>
      </c>
      <c r="C679" s="121" t="s">
        <v>1519</v>
      </c>
      <c r="D679" s="121" t="s">
        <v>2058</v>
      </c>
      <c r="E679" s="449" t="s">
        <v>2006</v>
      </c>
      <c r="F679" s="316">
        <v>2.5630999999999999</v>
      </c>
      <c r="G679" s="324" t="s">
        <v>1217</v>
      </c>
      <c r="H679" s="101" t="s">
        <v>1959</v>
      </c>
      <c r="I679" s="304">
        <v>0.02</v>
      </c>
      <c r="J679" s="316">
        <v>0.21460000000000001</v>
      </c>
      <c r="K679" s="304">
        <v>11.9</v>
      </c>
      <c r="L679" s="304"/>
      <c r="M679" s="449" t="s">
        <v>1954</v>
      </c>
      <c r="N679" s="449" t="s">
        <v>554</v>
      </c>
      <c r="O679" s="168"/>
    </row>
    <row r="680" spans="1:15" ht="18.75" customHeight="1" x14ac:dyDescent="0.25">
      <c r="A680" s="448"/>
      <c r="B680" s="550"/>
      <c r="C680" s="121" t="s">
        <v>1519</v>
      </c>
      <c r="D680" s="121" t="s">
        <v>2178</v>
      </c>
      <c r="E680" s="433"/>
      <c r="F680" s="316">
        <v>0.36220000000000002</v>
      </c>
      <c r="G680" s="116"/>
      <c r="H680" s="101" t="s">
        <v>1959</v>
      </c>
      <c r="I680" s="304">
        <v>0.01</v>
      </c>
      <c r="J680" s="316">
        <v>9.2999999999999999E-2</v>
      </c>
      <c r="K680" s="304">
        <v>3.9</v>
      </c>
      <c r="L680" s="304"/>
      <c r="M680" s="433"/>
      <c r="N680" s="433"/>
      <c r="O680" s="168"/>
    </row>
    <row r="681" spans="1:15" ht="19.5" x14ac:dyDescent="0.25">
      <c r="A681" s="128"/>
      <c r="B681" s="431" t="s">
        <v>555</v>
      </c>
      <c r="C681" s="431"/>
      <c r="D681" s="431"/>
      <c r="E681" s="431"/>
      <c r="F681" s="245">
        <f>F680+F679</f>
        <v>2.9253</v>
      </c>
      <c r="G681" s="128"/>
      <c r="H681" s="128"/>
      <c r="I681" s="128"/>
      <c r="J681" s="245">
        <f>J680+J679</f>
        <v>0.30759999999999998</v>
      </c>
      <c r="K681" s="128"/>
      <c r="L681" s="128"/>
      <c r="M681" s="128"/>
      <c r="N681" s="128"/>
      <c r="O681" s="231"/>
    </row>
    <row r="682" spans="1:15" ht="18.75" x14ac:dyDescent="0.25">
      <c r="A682" s="447">
        <v>272</v>
      </c>
      <c r="B682" s="549" t="s">
        <v>2007</v>
      </c>
      <c r="C682" s="121" t="s">
        <v>1519</v>
      </c>
      <c r="D682" s="121" t="s">
        <v>1519</v>
      </c>
      <c r="E682" s="449" t="s">
        <v>2007</v>
      </c>
      <c r="F682" s="316">
        <v>5.9569999999999999</v>
      </c>
      <c r="G682" s="324" t="s">
        <v>1217</v>
      </c>
      <c r="H682" s="101" t="s">
        <v>1961</v>
      </c>
      <c r="I682" s="304">
        <v>93600</v>
      </c>
      <c r="J682" s="316">
        <v>1.4179999999999999</v>
      </c>
      <c r="K682" s="304">
        <v>4.2</v>
      </c>
      <c r="L682" s="304"/>
      <c r="M682" s="101" t="s">
        <v>1951</v>
      </c>
      <c r="N682" s="101" t="s">
        <v>554</v>
      </c>
      <c r="O682" s="168"/>
    </row>
    <row r="683" spans="1:15" ht="18.75" customHeight="1" x14ac:dyDescent="0.25">
      <c r="A683" s="448"/>
      <c r="B683" s="550"/>
      <c r="C683" s="121" t="s">
        <v>1180</v>
      </c>
      <c r="D683" s="121" t="s">
        <v>2206</v>
      </c>
      <c r="E683" s="433"/>
      <c r="F683" s="316">
        <v>21.05</v>
      </c>
      <c r="G683" s="116"/>
      <c r="H683" s="101" t="s">
        <v>1961</v>
      </c>
      <c r="I683" s="304">
        <v>772500</v>
      </c>
      <c r="J683" s="316">
        <v>14.032999999999999</v>
      </c>
      <c r="K683" s="304">
        <v>1.5</v>
      </c>
      <c r="L683" s="304"/>
      <c r="M683" s="101"/>
      <c r="N683" s="101"/>
      <c r="O683" s="168"/>
    </row>
    <row r="684" spans="1:15" ht="19.5" x14ac:dyDescent="0.25">
      <c r="A684" s="128"/>
      <c r="B684" s="431" t="s">
        <v>555</v>
      </c>
      <c r="C684" s="431"/>
      <c r="D684" s="431"/>
      <c r="E684" s="431"/>
      <c r="F684" s="245">
        <f>F683+F682</f>
        <v>27.007000000000001</v>
      </c>
      <c r="G684" s="128"/>
      <c r="H684" s="128"/>
      <c r="I684" s="128"/>
      <c r="J684" s="245">
        <f>J683+J682</f>
        <v>15.450999999999999</v>
      </c>
      <c r="K684" s="128"/>
      <c r="L684" s="128"/>
      <c r="M684" s="128"/>
      <c r="N684" s="128"/>
      <c r="O684" s="231"/>
    </row>
    <row r="685" spans="1:15" ht="18.75" customHeight="1" x14ac:dyDescent="0.25">
      <c r="A685" s="447">
        <v>273</v>
      </c>
      <c r="B685" s="549" t="s">
        <v>2008</v>
      </c>
      <c r="C685" s="121" t="s">
        <v>2135</v>
      </c>
      <c r="D685" s="121" t="s">
        <v>2166</v>
      </c>
      <c r="E685" s="449" t="s">
        <v>2008</v>
      </c>
      <c r="F685" s="316">
        <v>1.9279999999999999</v>
      </c>
      <c r="G685" s="324" t="s">
        <v>1217</v>
      </c>
      <c r="H685" s="101" t="s">
        <v>1961</v>
      </c>
      <c r="I685" s="304">
        <v>146878</v>
      </c>
      <c r="J685" s="316">
        <v>0.73499999999999999</v>
      </c>
      <c r="K685" s="304">
        <v>2.6</v>
      </c>
      <c r="L685" s="304"/>
      <c r="M685" s="449" t="s">
        <v>866</v>
      </c>
      <c r="N685" s="449" t="s">
        <v>554</v>
      </c>
      <c r="O685" s="168"/>
    </row>
    <row r="686" spans="1:15" ht="37.5" customHeight="1" x14ac:dyDescent="0.25">
      <c r="A686" s="448"/>
      <c r="B686" s="550"/>
      <c r="C686" s="121" t="s">
        <v>1519</v>
      </c>
      <c r="D686" s="121" t="s">
        <v>2184</v>
      </c>
      <c r="E686" s="433"/>
      <c r="F686" s="316">
        <v>0.34200000000000003</v>
      </c>
      <c r="G686" s="116"/>
      <c r="H686" s="101" t="s">
        <v>1961</v>
      </c>
      <c r="I686" s="304">
        <v>21343</v>
      </c>
      <c r="J686" s="316">
        <v>0.107</v>
      </c>
      <c r="K686" s="304">
        <v>3.2</v>
      </c>
      <c r="L686" s="304"/>
      <c r="M686" s="433"/>
      <c r="N686" s="433"/>
      <c r="O686" s="168"/>
    </row>
    <row r="687" spans="1:15" ht="19.5" x14ac:dyDescent="0.25">
      <c r="A687" s="128"/>
      <c r="B687" s="431" t="s">
        <v>555</v>
      </c>
      <c r="C687" s="431"/>
      <c r="D687" s="431"/>
      <c r="E687" s="431"/>
      <c r="F687" s="245">
        <f>F686+F685</f>
        <v>2.27</v>
      </c>
      <c r="G687" s="128"/>
      <c r="H687" s="128"/>
      <c r="I687" s="128"/>
      <c r="J687" s="245">
        <f>J686+J685</f>
        <v>0.84199999999999997</v>
      </c>
      <c r="K687" s="128"/>
      <c r="L687" s="128"/>
      <c r="M687" s="128"/>
      <c r="N687" s="128"/>
      <c r="O687" s="231"/>
    </row>
    <row r="688" spans="1:15" ht="37.5" x14ac:dyDescent="0.25">
      <c r="A688" s="128">
        <v>274</v>
      </c>
      <c r="B688" s="91" t="s">
        <v>2025</v>
      </c>
      <c r="C688" s="121" t="s">
        <v>1519</v>
      </c>
      <c r="D688" s="121" t="s">
        <v>2039</v>
      </c>
      <c r="E688" s="101" t="s">
        <v>1981</v>
      </c>
      <c r="F688" s="316">
        <v>0.78300000000000003</v>
      </c>
      <c r="G688" s="324" t="s">
        <v>1217</v>
      </c>
      <c r="H688" s="101" t="s">
        <v>1961</v>
      </c>
      <c r="I688" s="304">
        <v>11128</v>
      </c>
      <c r="J688" s="316">
        <v>0.25600000000000001</v>
      </c>
      <c r="K688" s="304">
        <v>3.06</v>
      </c>
      <c r="L688" s="304"/>
      <c r="M688" s="101" t="s">
        <v>1953</v>
      </c>
      <c r="N688" s="101" t="s">
        <v>554</v>
      </c>
      <c r="O688" s="168"/>
    </row>
    <row r="689" spans="1:15" ht="19.5" x14ac:dyDescent="0.25">
      <c r="A689" s="128"/>
      <c r="B689" s="431" t="s">
        <v>555</v>
      </c>
      <c r="C689" s="431"/>
      <c r="D689" s="431"/>
      <c r="E689" s="431"/>
      <c r="F689" s="245">
        <f>F688</f>
        <v>0.78300000000000003</v>
      </c>
      <c r="G689" s="128"/>
      <c r="H689" s="128"/>
      <c r="I689" s="128"/>
      <c r="J689" s="245">
        <f>J688</f>
        <v>0.25600000000000001</v>
      </c>
      <c r="K689" s="128"/>
      <c r="L689" s="128"/>
      <c r="M689" s="128"/>
      <c r="N689" s="128"/>
      <c r="O689" s="231"/>
    </row>
    <row r="690" spans="1:15" ht="18.75" x14ac:dyDescent="0.25">
      <c r="A690" s="128">
        <v>275</v>
      </c>
      <c r="B690" s="91" t="s">
        <v>2009</v>
      </c>
      <c r="C690" s="121" t="s">
        <v>1405</v>
      </c>
      <c r="D690" s="121" t="s">
        <v>2167</v>
      </c>
      <c r="E690" s="101" t="s">
        <v>2009</v>
      </c>
      <c r="F690" s="316">
        <v>53.4968</v>
      </c>
      <c r="G690" s="324" t="s">
        <v>1217</v>
      </c>
      <c r="H690" s="101" t="s">
        <v>37</v>
      </c>
      <c r="I690" s="304">
        <v>8000</v>
      </c>
      <c r="J690" s="316">
        <v>3.29</v>
      </c>
      <c r="K690" s="304">
        <v>16</v>
      </c>
      <c r="L690" s="304"/>
      <c r="M690" s="101" t="s">
        <v>1950</v>
      </c>
      <c r="N690" s="101" t="s">
        <v>554</v>
      </c>
      <c r="O690" s="168"/>
    </row>
    <row r="691" spans="1:15" ht="19.5" x14ac:dyDescent="0.25">
      <c r="A691" s="128"/>
      <c r="B691" s="431" t="s">
        <v>555</v>
      </c>
      <c r="C691" s="431"/>
      <c r="D691" s="431"/>
      <c r="E691" s="431"/>
      <c r="F691" s="245">
        <f>F690</f>
        <v>53.4968</v>
      </c>
      <c r="G691" s="128"/>
      <c r="H691" s="128"/>
      <c r="I691" s="128"/>
      <c r="J691" s="245">
        <f>J690</f>
        <v>3.29</v>
      </c>
      <c r="K691" s="128"/>
      <c r="L691" s="128"/>
      <c r="M691" s="128"/>
      <c r="N691" s="128"/>
      <c r="O691" s="231"/>
    </row>
    <row r="692" spans="1:15" ht="20.25" x14ac:dyDescent="0.25">
      <c r="A692" s="159"/>
      <c r="B692" s="196" t="s">
        <v>2240</v>
      </c>
      <c r="C692" s="509"/>
      <c r="D692" s="510"/>
      <c r="E692" s="159" t="s">
        <v>1974</v>
      </c>
      <c r="F692" s="384">
        <f>F616+F618+F620+F622+F624+F626+F628+F630+F632+F634+F636+F638+F640+F642+F645+F649+F652+F654+F657+F661+F664+F670+F672+F674+F676+F678+F681+F684+F687+F689+F691</f>
        <v>20665.01656</v>
      </c>
      <c r="G692" s="384"/>
      <c r="H692" s="384"/>
      <c r="I692" s="384"/>
      <c r="J692" s="306">
        <f>J616+J618+J620+J622+J624+J626+J628+J630+J632+J634+J636+J638+J640+J642+J645+J649+J652+J654+J657+J661+J664+J670+J672+J674+J676+J678+J681+J684+J687+J689+J691</f>
        <v>621.49792400000001</v>
      </c>
      <c r="K692" s="159"/>
      <c r="L692" s="159"/>
      <c r="M692" s="159"/>
      <c r="N692" s="159"/>
      <c r="O692" s="224"/>
    </row>
    <row r="693" spans="1:15" ht="18.75" customHeight="1" x14ac:dyDescent="0.25">
      <c r="A693" s="447">
        <v>276</v>
      </c>
      <c r="B693" s="549" t="s">
        <v>2010</v>
      </c>
      <c r="C693" s="495" t="s">
        <v>2136</v>
      </c>
      <c r="D693" s="495" t="s">
        <v>2168</v>
      </c>
      <c r="E693" s="449" t="s">
        <v>2010</v>
      </c>
      <c r="F693" s="488">
        <v>270.96499999999997</v>
      </c>
      <c r="G693" s="324" t="s">
        <v>1217</v>
      </c>
      <c r="H693" s="101" t="s">
        <v>1961</v>
      </c>
      <c r="I693" s="304">
        <v>425125</v>
      </c>
      <c r="J693" s="316">
        <v>10.31687</v>
      </c>
      <c r="K693" s="497">
        <v>17.8</v>
      </c>
      <c r="L693" s="497"/>
      <c r="M693" s="449" t="s">
        <v>1834</v>
      </c>
      <c r="N693" s="449" t="s">
        <v>554</v>
      </c>
      <c r="O693" s="556">
        <v>2023</v>
      </c>
    </row>
    <row r="694" spans="1:15" ht="18.75" customHeight="1" x14ac:dyDescent="0.25">
      <c r="A694" s="448"/>
      <c r="B694" s="550"/>
      <c r="C694" s="496"/>
      <c r="D694" s="496"/>
      <c r="E694" s="433"/>
      <c r="F694" s="489"/>
      <c r="G694" s="116"/>
      <c r="H694" s="101" t="s">
        <v>37</v>
      </c>
      <c r="I694" s="304">
        <v>421.05</v>
      </c>
      <c r="J694" s="316">
        <v>1.91212</v>
      </c>
      <c r="K694" s="498"/>
      <c r="L694" s="498"/>
      <c r="M694" s="433"/>
      <c r="N694" s="433"/>
      <c r="O694" s="537"/>
    </row>
    <row r="695" spans="1:15" ht="19.5" x14ac:dyDescent="0.25">
      <c r="A695" s="128"/>
      <c r="B695" s="431" t="s">
        <v>555</v>
      </c>
      <c r="C695" s="431"/>
      <c r="D695" s="431"/>
      <c r="E695" s="431"/>
      <c r="F695" s="245">
        <f>F694+F693</f>
        <v>270.96499999999997</v>
      </c>
      <c r="G695" s="128"/>
      <c r="H695" s="128"/>
      <c r="I695" s="128"/>
      <c r="J695" s="245">
        <f>J694+J693</f>
        <v>12.22899</v>
      </c>
      <c r="K695" s="245"/>
      <c r="L695" s="245"/>
      <c r="M695" s="128"/>
      <c r="N695" s="128"/>
      <c r="O695" s="231"/>
    </row>
    <row r="696" spans="1:15" ht="18.75" customHeight="1" x14ac:dyDescent="0.25">
      <c r="A696" s="447">
        <v>277</v>
      </c>
      <c r="B696" s="549" t="s">
        <v>2106</v>
      </c>
      <c r="C696" s="495" t="s">
        <v>2137</v>
      </c>
      <c r="D696" s="495" t="s">
        <v>2168</v>
      </c>
      <c r="E696" s="449" t="s">
        <v>2011</v>
      </c>
      <c r="F696" s="488">
        <v>169.58487</v>
      </c>
      <c r="G696" s="324" t="s">
        <v>1217</v>
      </c>
      <c r="H696" s="101" t="s">
        <v>1961</v>
      </c>
      <c r="I696" s="304">
        <v>691702.5</v>
      </c>
      <c r="J696" s="316">
        <v>18.311579999999999</v>
      </c>
      <c r="K696" s="497">
        <v>7.54</v>
      </c>
      <c r="L696" s="497"/>
      <c r="M696" s="449" t="s">
        <v>861</v>
      </c>
      <c r="N696" s="449" t="s">
        <v>554</v>
      </c>
      <c r="O696" s="556">
        <v>2023</v>
      </c>
    </row>
    <row r="697" spans="1:15" ht="18.75" customHeight="1" x14ac:dyDescent="0.25">
      <c r="A697" s="448"/>
      <c r="B697" s="550"/>
      <c r="C697" s="496"/>
      <c r="D697" s="496"/>
      <c r="E697" s="433"/>
      <c r="F697" s="489"/>
      <c r="G697" s="116"/>
      <c r="H697" s="101" t="s">
        <v>37</v>
      </c>
      <c r="I697" s="304">
        <v>387.68</v>
      </c>
      <c r="J697" s="316">
        <v>3.4947599999999999</v>
      </c>
      <c r="K697" s="498"/>
      <c r="L697" s="498"/>
      <c r="M697" s="433"/>
      <c r="N697" s="433"/>
      <c r="O697" s="537"/>
    </row>
    <row r="698" spans="1:15" ht="19.5" x14ac:dyDescent="0.25">
      <c r="A698" s="128"/>
      <c r="B698" s="431" t="s">
        <v>555</v>
      </c>
      <c r="C698" s="431"/>
      <c r="D698" s="431"/>
      <c r="E698" s="431"/>
      <c r="F698" s="245">
        <f>F697+F696</f>
        <v>169.58487</v>
      </c>
      <c r="G698" s="128"/>
      <c r="H698" s="128"/>
      <c r="I698" s="128"/>
      <c r="J698" s="245">
        <f>J697+J696</f>
        <v>21.806339999999999</v>
      </c>
      <c r="K698" s="128"/>
      <c r="L698" s="128"/>
      <c r="M698" s="128"/>
      <c r="N698" s="128"/>
      <c r="O698" s="231"/>
    </row>
    <row r="699" spans="1:15" ht="56.25" x14ac:dyDescent="0.25">
      <c r="A699" s="324">
        <v>278</v>
      </c>
      <c r="B699" s="312" t="s">
        <v>1982</v>
      </c>
      <c r="C699" s="189" t="s">
        <v>2029</v>
      </c>
      <c r="D699" s="189" t="s">
        <v>2040</v>
      </c>
      <c r="E699" s="325" t="s">
        <v>1982</v>
      </c>
      <c r="F699" s="316">
        <v>62.314340000000001</v>
      </c>
      <c r="G699" s="324" t="s">
        <v>1217</v>
      </c>
      <c r="H699" s="101" t="s">
        <v>37</v>
      </c>
      <c r="I699" s="304">
        <v>270</v>
      </c>
      <c r="J699" s="316">
        <v>1.3716200000000001</v>
      </c>
      <c r="K699" s="304">
        <v>18</v>
      </c>
      <c r="L699" s="304"/>
      <c r="M699" s="325" t="s">
        <v>1834</v>
      </c>
      <c r="N699" s="325" t="s">
        <v>554</v>
      </c>
      <c r="O699" s="168">
        <v>2023</v>
      </c>
    </row>
    <row r="700" spans="1:15" ht="19.5" x14ac:dyDescent="0.25">
      <c r="A700" s="128"/>
      <c r="B700" s="431" t="s">
        <v>555</v>
      </c>
      <c r="C700" s="431"/>
      <c r="D700" s="431"/>
      <c r="E700" s="431"/>
      <c r="F700" s="245">
        <f>F699</f>
        <v>62.314340000000001</v>
      </c>
      <c r="G700" s="128"/>
      <c r="H700" s="128"/>
      <c r="I700" s="128"/>
      <c r="J700" s="245">
        <f>J699</f>
        <v>1.3716200000000001</v>
      </c>
      <c r="K700" s="128"/>
      <c r="L700" s="128"/>
      <c r="M700" s="128"/>
      <c r="N700" s="128"/>
      <c r="O700" s="231"/>
    </row>
    <row r="701" spans="1:15" ht="37.5" x14ac:dyDescent="0.25">
      <c r="A701" s="128">
        <v>279</v>
      </c>
      <c r="B701" s="91" t="s">
        <v>1983</v>
      </c>
      <c r="C701" s="121" t="s">
        <v>2042</v>
      </c>
      <c r="D701" s="121" t="s">
        <v>2041</v>
      </c>
      <c r="E701" s="101" t="s">
        <v>1983</v>
      </c>
      <c r="F701" s="316">
        <v>135.47517999999999</v>
      </c>
      <c r="G701" s="324" t="s">
        <v>1217</v>
      </c>
      <c r="H701" s="101" t="s">
        <v>553</v>
      </c>
      <c r="I701" s="304">
        <v>337960</v>
      </c>
      <c r="J701" s="316">
        <v>5.7284220000000001</v>
      </c>
      <c r="K701" s="304">
        <v>24.65</v>
      </c>
      <c r="L701" s="304"/>
      <c r="M701" s="101" t="s">
        <v>1208</v>
      </c>
      <c r="N701" s="101" t="s">
        <v>554</v>
      </c>
      <c r="O701" s="168">
        <v>2023</v>
      </c>
    </row>
    <row r="702" spans="1:15" ht="19.5" x14ac:dyDescent="0.25">
      <c r="A702" s="128"/>
      <c r="B702" s="431" t="s">
        <v>555</v>
      </c>
      <c r="C702" s="431"/>
      <c r="D702" s="431"/>
      <c r="E702" s="431"/>
      <c r="F702" s="245">
        <f>F701</f>
        <v>135.47517999999999</v>
      </c>
      <c r="G702" s="128"/>
      <c r="H702" s="128"/>
      <c r="I702" s="128"/>
      <c r="J702" s="245">
        <f>J701</f>
        <v>5.7284220000000001</v>
      </c>
      <c r="K702" s="128"/>
      <c r="L702" s="128"/>
      <c r="M702" s="128"/>
      <c r="N702" s="128"/>
      <c r="O702" s="231"/>
    </row>
    <row r="703" spans="1:15" ht="56.25" x14ac:dyDescent="0.25">
      <c r="A703" s="128">
        <v>280</v>
      </c>
      <c r="B703" s="103" t="s">
        <v>2083</v>
      </c>
      <c r="C703" s="142" t="s">
        <v>2090</v>
      </c>
      <c r="D703" s="121" t="s">
        <v>2098</v>
      </c>
      <c r="E703" s="82" t="s">
        <v>2101</v>
      </c>
      <c r="F703" s="316">
        <v>12.0504</v>
      </c>
      <c r="G703" s="324" t="s">
        <v>1217</v>
      </c>
      <c r="H703" s="101" t="s">
        <v>37</v>
      </c>
      <c r="I703" s="304">
        <v>70.94</v>
      </c>
      <c r="J703" s="316">
        <v>0.40029999999999999</v>
      </c>
      <c r="K703" s="304">
        <v>58.47</v>
      </c>
      <c r="L703" s="304"/>
      <c r="M703" s="101" t="s">
        <v>1208</v>
      </c>
      <c r="N703" s="101" t="s">
        <v>554</v>
      </c>
      <c r="O703" s="168">
        <v>2023</v>
      </c>
    </row>
    <row r="704" spans="1:15" ht="19.5" x14ac:dyDescent="0.25">
      <c r="A704" s="128"/>
      <c r="B704" s="431" t="s">
        <v>555</v>
      </c>
      <c r="C704" s="431"/>
      <c r="D704" s="431"/>
      <c r="E704" s="431"/>
      <c r="F704" s="245">
        <f>F703</f>
        <v>12.0504</v>
      </c>
      <c r="G704" s="128"/>
      <c r="H704" s="128"/>
      <c r="I704" s="128"/>
      <c r="J704" s="245">
        <f>J703</f>
        <v>0.40029999999999999</v>
      </c>
      <c r="K704" s="128"/>
      <c r="L704" s="128"/>
      <c r="M704" s="128"/>
      <c r="N704" s="128"/>
      <c r="O704" s="231"/>
    </row>
    <row r="705" spans="1:15" ht="56.25" x14ac:dyDescent="0.25">
      <c r="A705" s="128">
        <v>281</v>
      </c>
      <c r="B705" s="103" t="s">
        <v>2083</v>
      </c>
      <c r="C705" s="142" t="s">
        <v>2091</v>
      </c>
      <c r="D705" s="121" t="s">
        <v>2099</v>
      </c>
      <c r="E705" s="82" t="s">
        <v>2101</v>
      </c>
      <c r="F705" s="316">
        <v>31.199000000000002</v>
      </c>
      <c r="G705" s="324" t="s">
        <v>1217</v>
      </c>
      <c r="H705" s="352" t="s">
        <v>37</v>
      </c>
      <c r="I705" s="246">
        <v>65.400000000000006</v>
      </c>
      <c r="J705" s="351">
        <v>0.32950000000000002</v>
      </c>
      <c r="K705" s="246">
        <v>59.2</v>
      </c>
      <c r="L705" s="246"/>
      <c r="M705" s="101" t="s">
        <v>1208</v>
      </c>
      <c r="N705" s="101" t="s">
        <v>554</v>
      </c>
      <c r="O705" s="168">
        <v>2023</v>
      </c>
    </row>
    <row r="706" spans="1:15" ht="19.5" x14ac:dyDescent="0.25">
      <c r="A706" s="128"/>
      <c r="B706" s="431" t="s">
        <v>555</v>
      </c>
      <c r="C706" s="431"/>
      <c r="D706" s="431"/>
      <c r="E706" s="431"/>
      <c r="F706" s="245">
        <f>F705</f>
        <v>31.199000000000002</v>
      </c>
      <c r="G706" s="128"/>
      <c r="H706" s="128"/>
      <c r="I706" s="128"/>
      <c r="J706" s="245">
        <f>J705</f>
        <v>0.32950000000000002</v>
      </c>
      <c r="K706" s="128"/>
      <c r="L706" s="128"/>
      <c r="M706" s="128"/>
      <c r="N706" s="128"/>
      <c r="O706" s="231"/>
    </row>
    <row r="707" spans="1:15" ht="56.25" x14ac:dyDescent="0.25">
      <c r="A707" s="128">
        <v>282</v>
      </c>
      <c r="B707" s="103" t="s">
        <v>2083</v>
      </c>
      <c r="C707" s="142" t="s">
        <v>2092</v>
      </c>
      <c r="D707" s="121" t="s">
        <v>2100</v>
      </c>
      <c r="E707" s="82" t="s">
        <v>2101</v>
      </c>
      <c r="F707" s="316">
        <v>12.523199999999999</v>
      </c>
      <c r="G707" s="324" t="s">
        <v>1217</v>
      </c>
      <c r="H707" s="265" t="s">
        <v>37</v>
      </c>
      <c r="I707" s="256">
        <v>170.04</v>
      </c>
      <c r="J707" s="316">
        <v>0.95950000000000002</v>
      </c>
      <c r="K707" s="254">
        <v>10.48</v>
      </c>
      <c r="L707" s="254"/>
      <c r="M707" s="101" t="s">
        <v>1208</v>
      </c>
      <c r="N707" s="101" t="s">
        <v>554</v>
      </c>
      <c r="O707" s="168">
        <v>2023</v>
      </c>
    </row>
    <row r="708" spans="1:15" ht="19.5" x14ac:dyDescent="0.25">
      <c r="A708" s="128"/>
      <c r="B708" s="431" t="s">
        <v>555</v>
      </c>
      <c r="C708" s="431"/>
      <c r="D708" s="431"/>
      <c r="E708" s="431"/>
      <c r="F708" s="245">
        <f>F707</f>
        <v>12.523199999999999</v>
      </c>
      <c r="G708" s="128"/>
      <c r="H708" s="128"/>
      <c r="I708" s="128"/>
      <c r="J708" s="245">
        <f>J707</f>
        <v>0.95950000000000002</v>
      </c>
      <c r="K708" s="128"/>
      <c r="L708" s="128"/>
      <c r="M708" s="128"/>
      <c r="N708" s="128"/>
      <c r="O708" s="231"/>
    </row>
    <row r="709" spans="1:15" ht="18.75" customHeight="1" x14ac:dyDescent="0.25">
      <c r="A709" s="447">
        <v>283</v>
      </c>
      <c r="B709" s="549" t="s">
        <v>2012</v>
      </c>
      <c r="C709" s="495" t="s">
        <v>2138</v>
      </c>
      <c r="D709" s="121" t="s">
        <v>2169</v>
      </c>
      <c r="E709" s="449" t="s">
        <v>2012</v>
      </c>
      <c r="F709" s="488">
        <v>92</v>
      </c>
      <c r="G709" s="324" t="s">
        <v>1217</v>
      </c>
      <c r="H709" s="101" t="s">
        <v>37</v>
      </c>
      <c r="I709" s="304">
        <v>1881.32</v>
      </c>
      <c r="J709" s="316">
        <v>8.8626100000000001</v>
      </c>
      <c r="K709" s="497">
        <v>11.35</v>
      </c>
      <c r="L709" s="497"/>
      <c r="M709" s="449" t="s">
        <v>1956</v>
      </c>
      <c r="N709" s="449" t="s">
        <v>554</v>
      </c>
      <c r="O709" s="556">
        <v>2023</v>
      </c>
    </row>
    <row r="710" spans="1:15" ht="37.5" customHeight="1" x14ac:dyDescent="0.25">
      <c r="A710" s="448"/>
      <c r="B710" s="550"/>
      <c r="C710" s="496"/>
      <c r="D710" s="121" t="s">
        <v>2207</v>
      </c>
      <c r="E710" s="433"/>
      <c r="F710" s="489"/>
      <c r="G710" s="116"/>
      <c r="H710" s="101" t="s">
        <v>553</v>
      </c>
      <c r="I710" s="304">
        <v>7980</v>
      </c>
      <c r="J710" s="316">
        <v>0.28727999999999998</v>
      </c>
      <c r="K710" s="498"/>
      <c r="L710" s="498"/>
      <c r="M710" s="433"/>
      <c r="N710" s="433"/>
      <c r="O710" s="537"/>
    </row>
    <row r="711" spans="1:15" ht="19.5" x14ac:dyDescent="0.25">
      <c r="A711" s="128"/>
      <c r="B711" s="431" t="s">
        <v>555</v>
      </c>
      <c r="C711" s="431"/>
      <c r="D711" s="431"/>
      <c r="E711" s="431"/>
      <c r="F711" s="245">
        <f>F709</f>
        <v>92</v>
      </c>
      <c r="G711" s="128"/>
      <c r="H711" s="128"/>
      <c r="I711" s="128"/>
      <c r="J711" s="245">
        <f>J709+J710</f>
        <v>9.1498899999999992</v>
      </c>
      <c r="K711" s="128"/>
      <c r="L711" s="128"/>
      <c r="M711" s="128"/>
      <c r="N711" s="128"/>
      <c r="O711" s="231"/>
    </row>
    <row r="712" spans="1:15" ht="31.5" x14ac:dyDescent="0.25">
      <c r="A712" s="447">
        <v>284</v>
      </c>
      <c r="B712" s="549" t="s">
        <v>2013</v>
      </c>
      <c r="C712" s="13" t="s">
        <v>2058</v>
      </c>
      <c r="D712" s="13" t="s">
        <v>2058</v>
      </c>
      <c r="E712" s="449" t="s">
        <v>2013</v>
      </c>
      <c r="F712" s="316">
        <v>2.5630999999999999</v>
      </c>
      <c r="G712" s="324" t="s">
        <v>1217</v>
      </c>
      <c r="H712" s="101" t="s">
        <v>1959</v>
      </c>
      <c r="I712" s="304">
        <v>0.02</v>
      </c>
      <c r="J712" s="316">
        <v>0.21460000000000001</v>
      </c>
      <c r="K712" s="304">
        <v>11.9</v>
      </c>
      <c r="L712" s="304"/>
      <c r="M712" s="449" t="s">
        <v>1954</v>
      </c>
      <c r="N712" s="449" t="s">
        <v>554</v>
      </c>
      <c r="O712" s="556">
        <v>2023</v>
      </c>
    </row>
    <row r="713" spans="1:15" ht="18.75" customHeight="1" x14ac:dyDescent="0.25">
      <c r="A713" s="448"/>
      <c r="B713" s="550"/>
      <c r="C713" s="13" t="s">
        <v>2178</v>
      </c>
      <c r="D713" s="13" t="s">
        <v>2178</v>
      </c>
      <c r="E713" s="433"/>
      <c r="F713" s="316">
        <v>0.36220000000000002</v>
      </c>
      <c r="G713" s="116"/>
      <c r="H713" s="101" t="s">
        <v>1959</v>
      </c>
      <c r="I713" s="304">
        <v>0.01</v>
      </c>
      <c r="J713" s="316">
        <v>9.2999999999999999E-2</v>
      </c>
      <c r="K713" s="304">
        <v>3.9</v>
      </c>
      <c r="L713" s="304"/>
      <c r="M713" s="433"/>
      <c r="N713" s="433"/>
      <c r="O713" s="537"/>
    </row>
    <row r="714" spans="1:15" ht="19.5" x14ac:dyDescent="0.25">
      <c r="A714" s="128"/>
      <c r="B714" s="431" t="s">
        <v>555</v>
      </c>
      <c r="C714" s="431"/>
      <c r="D714" s="431"/>
      <c r="E714" s="431"/>
      <c r="F714" s="245">
        <f>F712+F713</f>
        <v>2.9253</v>
      </c>
      <c r="G714" s="128"/>
      <c r="H714" s="128"/>
      <c r="I714" s="128"/>
      <c r="J714" s="245">
        <f>J712+J713</f>
        <v>0.30759999999999998</v>
      </c>
      <c r="K714" s="128"/>
      <c r="L714" s="128"/>
      <c r="M714" s="128"/>
      <c r="N714" s="128"/>
      <c r="O714" s="231"/>
    </row>
    <row r="715" spans="1:15" ht="31.5" customHeight="1" x14ac:dyDescent="0.25">
      <c r="A715" s="447">
        <v>285</v>
      </c>
      <c r="B715" s="549" t="s">
        <v>2052</v>
      </c>
      <c r="C715" s="547" t="s">
        <v>2055</v>
      </c>
      <c r="D715" s="13" t="s">
        <v>2060</v>
      </c>
      <c r="E715" s="449" t="s">
        <v>2064</v>
      </c>
      <c r="F715" s="316">
        <v>2.8</v>
      </c>
      <c r="G715" s="324" t="s">
        <v>1217</v>
      </c>
      <c r="H715" s="101" t="s">
        <v>283</v>
      </c>
      <c r="I715" s="304">
        <v>4400</v>
      </c>
      <c r="J715" s="316">
        <v>0.13789999999999999</v>
      </c>
      <c r="K715" s="304">
        <v>20.3</v>
      </c>
      <c r="L715" s="304"/>
      <c r="M715" s="449" t="s">
        <v>864</v>
      </c>
      <c r="N715" s="101" t="s">
        <v>554</v>
      </c>
      <c r="O715" s="168">
        <v>2024</v>
      </c>
    </row>
    <row r="716" spans="1:15" ht="31.5" customHeight="1" x14ac:dyDescent="0.25">
      <c r="A716" s="448"/>
      <c r="B716" s="550"/>
      <c r="C716" s="548"/>
      <c r="D716" s="13" t="s">
        <v>2208</v>
      </c>
      <c r="E716" s="433"/>
      <c r="F716" s="316">
        <v>1.448</v>
      </c>
      <c r="G716" s="116"/>
      <c r="H716" s="101" t="s">
        <v>283</v>
      </c>
      <c r="I716" s="304">
        <v>18000</v>
      </c>
      <c r="J716" s="316">
        <v>0.56420000000000003</v>
      </c>
      <c r="K716" s="304">
        <v>2.6</v>
      </c>
      <c r="L716" s="304"/>
      <c r="M716" s="433"/>
      <c r="N716" s="101" t="s">
        <v>554</v>
      </c>
      <c r="O716" s="168">
        <v>2024</v>
      </c>
    </row>
    <row r="717" spans="1:15" ht="19.5" x14ac:dyDescent="0.25">
      <c r="A717" s="128"/>
      <c r="B717" s="431" t="s">
        <v>555</v>
      </c>
      <c r="C717" s="431"/>
      <c r="D717" s="431"/>
      <c r="E717" s="431"/>
      <c r="F717" s="245">
        <f>F716+F715</f>
        <v>4.2479999999999993</v>
      </c>
      <c r="G717" s="245"/>
      <c r="H717" s="245"/>
      <c r="I717" s="245"/>
      <c r="J717" s="245">
        <f>J716+J715</f>
        <v>0.70210000000000006</v>
      </c>
      <c r="K717" s="128"/>
      <c r="L717" s="128"/>
      <c r="M717" s="128"/>
      <c r="N717" s="128"/>
      <c r="O717" s="231"/>
    </row>
    <row r="718" spans="1:15" ht="18.75" x14ac:dyDescent="0.25">
      <c r="A718" s="447">
        <v>286</v>
      </c>
      <c r="B718" s="549" t="s">
        <v>2052</v>
      </c>
      <c r="C718" s="495" t="s">
        <v>2056</v>
      </c>
      <c r="D718" s="121" t="s">
        <v>2061</v>
      </c>
      <c r="E718" s="449" t="s">
        <v>2064</v>
      </c>
      <c r="F718" s="316">
        <v>4.0415999999999999</v>
      </c>
      <c r="G718" s="324" t="s">
        <v>1217</v>
      </c>
      <c r="H718" s="101" t="s">
        <v>37</v>
      </c>
      <c r="I718" s="304">
        <v>62</v>
      </c>
      <c r="J718" s="316">
        <v>0.58389999999999997</v>
      </c>
      <c r="K718" s="304">
        <v>6.9</v>
      </c>
      <c r="L718" s="304"/>
      <c r="M718" s="449" t="s">
        <v>864</v>
      </c>
      <c r="N718" s="101" t="s">
        <v>554</v>
      </c>
      <c r="O718" s="168">
        <v>2024</v>
      </c>
    </row>
    <row r="719" spans="1:15" ht="18.75" customHeight="1" x14ac:dyDescent="0.25">
      <c r="A719" s="491"/>
      <c r="B719" s="552"/>
      <c r="C719" s="504"/>
      <c r="D719" s="121" t="s">
        <v>2209</v>
      </c>
      <c r="E719" s="490"/>
      <c r="F719" s="316">
        <v>0.88300000000000001</v>
      </c>
      <c r="G719" s="328"/>
      <c r="H719" s="101" t="s">
        <v>37</v>
      </c>
      <c r="I719" s="304">
        <v>19.399999999999999</v>
      </c>
      <c r="J719" s="316">
        <v>0.1827</v>
      </c>
      <c r="K719" s="304">
        <v>4.8</v>
      </c>
      <c r="L719" s="304"/>
      <c r="M719" s="490"/>
      <c r="N719" s="101" t="s">
        <v>554</v>
      </c>
      <c r="O719" s="168">
        <v>2024</v>
      </c>
    </row>
    <row r="720" spans="1:15" ht="37.5" customHeight="1" x14ac:dyDescent="0.25">
      <c r="A720" s="491"/>
      <c r="B720" s="552"/>
      <c r="C720" s="504"/>
      <c r="D720" s="121" t="s">
        <v>2210</v>
      </c>
      <c r="E720" s="490"/>
      <c r="F720" s="316">
        <v>1.9427000000000001</v>
      </c>
      <c r="G720" s="328"/>
      <c r="H720" s="101" t="s">
        <v>37</v>
      </c>
      <c r="I720" s="304">
        <v>28.1</v>
      </c>
      <c r="J720" s="316">
        <v>0.2646</v>
      </c>
      <c r="K720" s="304">
        <v>7.3</v>
      </c>
      <c r="L720" s="304"/>
      <c r="M720" s="490"/>
      <c r="N720" s="101" t="s">
        <v>554</v>
      </c>
      <c r="O720" s="168">
        <v>2024</v>
      </c>
    </row>
    <row r="721" spans="1:15" ht="37.5" customHeight="1" x14ac:dyDescent="0.25">
      <c r="A721" s="448"/>
      <c r="B721" s="550"/>
      <c r="C721" s="496"/>
      <c r="D721" s="121" t="s">
        <v>2211</v>
      </c>
      <c r="E721" s="433"/>
      <c r="F721" s="316">
        <v>2.7147999999999999</v>
      </c>
      <c r="G721" s="116"/>
      <c r="H721" s="101" t="s">
        <v>37</v>
      </c>
      <c r="I721" s="304">
        <v>52.9</v>
      </c>
      <c r="J721" s="316">
        <v>0.49819999999999998</v>
      </c>
      <c r="K721" s="304">
        <v>5.5</v>
      </c>
      <c r="L721" s="304"/>
      <c r="M721" s="433"/>
      <c r="N721" s="101" t="s">
        <v>554</v>
      </c>
      <c r="O721" s="168">
        <v>2024</v>
      </c>
    </row>
    <row r="722" spans="1:15" ht="19.5" x14ac:dyDescent="0.25">
      <c r="A722" s="128"/>
      <c r="B722" s="431" t="s">
        <v>555</v>
      </c>
      <c r="C722" s="431"/>
      <c r="D722" s="431"/>
      <c r="E722" s="431"/>
      <c r="F722" s="245">
        <f>F721+F718+F719+F720</f>
        <v>9.5820999999999987</v>
      </c>
      <c r="G722" s="245"/>
      <c r="H722" s="245"/>
      <c r="I722" s="245"/>
      <c r="J722" s="245">
        <f>J721+J718+J719+J720</f>
        <v>1.5294000000000001</v>
      </c>
      <c r="K722" s="128"/>
      <c r="L722" s="128"/>
      <c r="M722" s="128"/>
      <c r="N722" s="128"/>
      <c r="O722" s="231"/>
    </row>
    <row r="723" spans="1:15" ht="37.5" x14ac:dyDescent="0.25">
      <c r="A723" s="447">
        <v>287</v>
      </c>
      <c r="B723" s="549" t="s">
        <v>2052</v>
      </c>
      <c r="C723" s="549" t="s">
        <v>2057</v>
      </c>
      <c r="D723" s="121" t="s">
        <v>2062</v>
      </c>
      <c r="E723" s="449" t="s">
        <v>2064</v>
      </c>
      <c r="F723" s="316">
        <v>94.298500000000004</v>
      </c>
      <c r="G723" s="324" t="s">
        <v>1217</v>
      </c>
      <c r="H723" s="101" t="s">
        <v>1961</v>
      </c>
      <c r="I723" s="304" t="s">
        <v>1887</v>
      </c>
      <c r="J723" s="316">
        <v>54.712000000000003</v>
      </c>
      <c r="K723" s="304">
        <v>1.7</v>
      </c>
      <c r="L723" s="304"/>
      <c r="M723" s="449" t="s">
        <v>864</v>
      </c>
      <c r="N723" s="101" t="s">
        <v>554</v>
      </c>
      <c r="O723" s="168">
        <v>2024</v>
      </c>
    </row>
    <row r="724" spans="1:15" ht="37.5" customHeight="1" x14ac:dyDescent="0.25">
      <c r="A724" s="491"/>
      <c r="B724" s="552"/>
      <c r="C724" s="552"/>
      <c r="D724" s="121" t="s">
        <v>2212</v>
      </c>
      <c r="E724" s="490"/>
      <c r="F724" s="316">
        <v>18.7333</v>
      </c>
      <c r="G724" s="328"/>
      <c r="H724" s="101" t="s">
        <v>283</v>
      </c>
      <c r="I724" s="304">
        <v>782700</v>
      </c>
      <c r="J724" s="316">
        <v>24.532800000000002</v>
      </c>
      <c r="K724" s="304">
        <v>0.8</v>
      </c>
      <c r="L724" s="304"/>
      <c r="M724" s="490"/>
      <c r="N724" s="101" t="s">
        <v>554</v>
      </c>
      <c r="O724" s="168">
        <v>2024</v>
      </c>
    </row>
    <row r="725" spans="1:15" ht="37.5" customHeight="1" x14ac:dyDescent="0.25">
      <c r="A725" s="491"/>
      <c r="B725" s="552"/>
      <c r="C725" s="552"/>
      <c r="D725" s="121" t="s">
        <v>2213</v>
      </c>
      <c r="E725" s="490"/>
      <c r="F725" s="316">
        <v>6.8247999999999998</v>
      </c>
      <c r="G725" s="328"/>
      <c r="H725" s="101" t="s">
        <v>283</v>
      </c>
      <c r="I725" s="304">
        <v>493000</v>
      </c>
      <c r="J725" s="316">
        <v>15.452500000000001</v>
      </c>
      <c r="K725" s="304">
        <v>0.4</v>
      </c>
      <c r="L725" s="304"/>
      <c r="M725" s="490"/>
      <c r="N725" s="101" t="s">
        <v>554</v>
      </c>
      <c r="O725" s="168">
        <v>2024</v>
      </c>
    </row>
    <row r="726" spans="1:15" ht="37.5" customHeight="1" x14ac:dyDescent="0.25">
      <c r="A726" s="448"/>
      <c r="B726" s="550"/>
      <c r="C726" s="550"/>
      <c r="D726" s="121" t="s">
        <v>2214</v>
      </c>
      <c r="E726" s="433"/>
      <c r="F726" s="316">
        <v>10.996700000000001</v>
      </c>
      <c r="G726" s="116"/>
      <c r="H726" s="101" t="s">
        <v>283</v>
      </c>
      <c r="I726" s="304" t="s">
        <v>1888</v>
      </c>
      <c r="J726" s="316">
        <v>139.0598</v>
      </c>
      <c r="K726" s="304">
        <v>0.1</v>
      </c>
      <c r="L726" s="304"/>
      <c r="M726" s="433"/>
      <c r="N726" s="101" t="s">
        <v>554</v>
      </c>
      <c r="O726" s="168">
        <v>2024</v>
      </c>
    </row>
    <row r="727" spans="1:15" ht="19.5" x14ac:dyDescent="0.25">
      <c r="A727" s="128"/>
      <c r="B727" s="431" t="s">
        <v>555</v>
      </c>
      <c r="C727" s="431"/>
      <c r="D727" s="431"/>
      <c r="E727" s="431"/>
      <c r="F727" s="245">
        <f>F726+F723+F724+F725</f>
        <v>130.85330000000002</v>
      </c>
      <c r="G727" s="245"/>
      <c r="H727" s="245"/>
      <c r="I727" s="245"/>
      <c r="J727" s="245">
        <f>J726+J723+J724+J725</f>
        <v>233.75709999999998</v>
      </c>
      <c r="K727" s="128"/>
      <c r="L727" s="128"/>
      <c r="M727" s="128"/>
      <c r="N727" s="128"/>
      <c r="O727" s="231"/>
    </row>
    <row r="728" spans="1:15" ht="37.5" x14ac:dyDescent="0.25">
      <c r="A728" s="128">
        <v>288</v>
      </c>
      <c r="B728" s="91" t="s">
        <v>2105</v>
      </c>
      <c r="C728" s="121" t="s">
        <v>2139</v>
      </c>
      <c r="D728" s="121" t="s">
        <v>2139</v>
      </c>
      <c r="E728" s="82" t="s">
        <v>2105</v>
      </c>
      <c r="F728" s="316">
        <v>3.152552</v>
      </c>
      <c r="G728" s="337" t="s">
        <v>1049</v>
      </c>
      <c r="H728" s="101" t="s">
        <v>1959</v>
      </c>
      <c r="I728" s="304">
        <v>24.28</v>
      </c>
      <c r="J728" s="316">
        <v>0.52400000000000002</v>
      </c>
      <c r="K728" s="304">
        <v>6</v>
      </c>
      <c r="L728" s="304"/>
      <c r="M728" s="335" t="s">
        <v>1956</v>
      </c>
      <c r="N728" s="101" t="s">
        <v>859</v>
      </c>
      <c r="O728" s="168"/>
    </row>
    <row r="729" spans="1:15" ht="19.5" x14ac:dyDescent="0.25">
      <c r="A729" s="128"/>
      <c r="B729" s="431" t="s">
        <v>555</v>
      </c>
      <c r="C729" s="431"/>
      <c r="D729" s="431"/>
      <c r="E729" s="431"/>
      <c r="F729" s="245">
        <f>F728</f>
        <v>3.152552</v>
      </c>
      <c r="G729" s="128"/>
      <c r="H729" s="128"/>
      <c r="I729" s="128"/>
      <c r="J729" s="245">
        <f>J728</f>
        <v>0.52400000000000002</v>
      </c>
      <c r="K729" s="128"/>
      <c r="L729" s="128"/>
      <c r="M729" s="128"/>
      <c r="N729" s="128"/>
      <c r="O729" s="231"/>
    </row>
    <row r="730" spans="1:15" ht="37.5" x14ac:dyDescent="0.25">
      <c r="A730" s="128">
        <v>289</v>
      </c>
      <c r="B730" s="91" t="s">
        <v>2105</v>
      </c>
      <c r="C730" s="121" t="s">
        <v>2140</v>
      </c>
      <c r="D730" s="121" t="s">
        <v>2140</v>
      </c>
      <c r="E730" s="82" t="s">
        <v>2105</v>
      </c>
      <c r="F730" s="316">
        <v>2.3303569999999998</v>
      </c>
      <c r="G730" s="337" t="s">
        <v>1049</v>
      </c>
      <c r="H730" s="101" t="s">
        <v>1959</v>
      </c>
      <c r="I730" s="304">
        <v>17.899999999999999</v>
      </c>
      <c r="J730" s="316">
        <v>0.38700000000000001</v>
      </c>
      <c r="K730" s="304">
        <v>6</v>
      </c>
      <c r="L730" s="304"/>
      <c r="M730" s="335" t="s">
        <v>1956</v>
      </c>
      <c r="N730" s="101" t="s">
        <v>859</v>
      </c>
      <c r="O730" s="168"/>
    </row>
    <row r="731" spans="1:15" ht="19.5" x14ac:dyDescent="0.25">
      <c r="A731" s="128"/>
      <c r="B731" s="431" t="s">
        <v>555</v>
      </c>
      <c r="C731" s="431"/>
      <c r="D731" s="431"/>
      <c r="E731" s="431"/>
      <c r="F731" s="245">
        <f>F730</f>
        <v>2.3303569999999998</v>
      </c>
      <c r="G731" s="128"/>
      <c r="H731" s="128"/>
      <c r="I731" s="128"/>
      <c r="J731" s="245">
        <f>J730</f>
        <v>0.38700000000000001</v>
      </c>
      <c r="K731" s="128"/>
      <c r="L731" s="128"/>
      <c r="M731" s="128"/>
      <c r="N731" s="128"/>
      <c r="O731" s="231"/>
    </row>
    <row r="732" spans="1:15" ht="37.5" x14ac:dyDescent="0.25">
      <c r="A732" s="128">
        <v>290</v>
      </c>
      <c r="B732" s="91" t="s">
        <v>2105</v>
      </c>
      <c r="C732" s="121" t="s">
        <v>2141</v>
      </c>
      <c r="D732" s="121" t="s">
        <v>2141</v>
      </c>
      <c r="E732" s="82" t="s">
        <v>2105</v>
      </c>
      <c r="F732" s="316">
        <v>6.305104</v>
      </c>
      <c r="G732" s="337" t="s">
        <v>1049</v>
      </c>
      <c r="H732" s="101" t="s">
        <v>1959</v>
      </c>
      <c r="I732" s="304">
        <v>4.78</v>
      </c>
      <c r="J732" s="316">
        <v>1.0469999999999999</v>
      </c>
      <c r="K732" s="304">
        <v>6</v>
      </c>
      <c r="L732" s="304"/>
      <c r="M732" s="335" t="s">
        <v>1956</v>
      </c>
      <c r="N732" s="101" t="s">
        <v>859</v>
      </c>
      <c r="O732" s="168"/>
    </row>
    <row r="733" spans="1:15" ht="19.5" x14ac:dyDescent="0.25">
      <c r="A733" s="128"/>
      <c r="B733" s="431" t="s">
        <v>555</v>
      </c>
      <c r="C733" s="431"/>
      <c r="D733" s="431"/>
      <c r="E733" s="431"/>
      <c r="F733" s="245">
        <f>F732</f>
        <v>6.305104</v>
      </c>
      <c r="G733" s="128"/>
      <c r="H733" s="128"/>
      <c r="I733" s="128"/>
      <c r="J733" s="245">
        <f>J732</f>
        <v>1.0469999999999999</v>
      </c>
      <c r="K733" s="128"/>
      <c r="L733" s="128"/>
      <c r="M733" s="128"/>
      <c r="N733" s="128"/>
      <c r="O733" s="231"/>
    </row>
    <row r="734" spans="1:15" ht="37.5" x14ac:dyDescent="0.25">
      <c r="A734" s="324">
        <v>291</v>
      </c>
      <c r="B734" s="91" t="s">
        <v>2105</v>
      </c>
      <c r="C734" s="121" t="s">
        <v>2142</v>
      </c>
      <c r="D734" s="121" t="s">
        <v>2142</v>
      </c>
      <c r="E734" s="82" t="s">
        <v>2105</v>
      </c>
      <c r="F734" s="316">
        <v>3.152552</v>
      </c>
      <c r="G734" s="337" t="s">
        <v>1049</v>
      </c>
      <c r="H734" s="101" t="s">
        <v>1959</v>
      </c>
      <c r="I734" s="304">
        <v>24.28</v>
      </c>
      <c r="J734" s="316">
        <v>0.52400000000000002</v>
      </c>
      <c r="K734" s="304">
        <v>6</v>
      </c>
      <c r="L734" s="304"/>
      <c r="M734" s="335" t="s">
        <v>1956</v>
      </c>
      <c r="N734" s="101" t="s">
        <v>859</v>
      </c>
      <c r="O734" s="168"/>
    </row>
    <row r="735" spans="1:15" ht="19.5" x14ac:dyDescent="0.25">
      <c r="A735" s="128"/>
      <c r="B735" s="431" t="s">
        <v>555</v>
      </c>
      <c r="C735" s="431"/>
      <c r="D735" s="431"/>
      <c r="E735" s="431"/>
      <c r="F735" s="245">
        <f>F734</f>
        <v>3.152552</v>
      </c>
      <c r="G735" s="128"/>
      <c r="H735" s="128"/>
      <c r="I735" s="128"/>
      <c r="J735" s="245">
        <f>J734</f>
        <v>0.52400000000000002</v>
      </c>
      <c r="K735" s="128"/>
      <c r="L735" s="128"/>
      <c r="M735" s="128"/>
      <c r="N735" s="128"/>
      <c r="O735" s="231"/>
    </row>
    <row r="736" spans="1:15" ht="37.5" x14ac:dyDescent="0.25">
      <c r="A736" s="324">
        <v>292</v>
      </c>
      <c r="B736" s="91" t="s">
        <v>2105</v>
      </c>
      <c r="C736" s="121" t="s">
        <v>2143</v>
      </c>
      <c r="D736" s="121" t="s">
        <v>2143</v>
      </c>
      <c r="E736" s="82" t="s">
        <v>2105</v>
      </c>
      <c r="F736" s="316">
        <v>2.3303569999999998</v>
      </c>
      <c r="G736" s="337" t="s">
        <v>1049</v>
      </c>
      <c r="H736" s="101" t="s">
        <v>1959</v>
      </c>
      <c r="I736" s="304">
        <v>17.899999999999999</v>
      </c>
      <c r="J736" s="316">
        <v>0.38700000000000001</v>
      </c>
      <c r="K736" s="304">
        <v>6</v>
      </c>
      <c r="L736" s="304"/>
      <c r="M736" s="335" t="s">
        <v>1956</v>
      </c>
      <c r="N736" s="101" t="s">
        <v>859</v>
      </c>
      <c r="O736" s="168"/>
    </row>
    <row r="737" spans="1:15" ht="19.5" x14ac:dyDescent="0.25">
      <c r="A737" s="128"/>
      <c r="B737" s="431" t="s">
        <v>555</v>
      </c>
      <c r="C737" s="431"/>
      <c r="D737" s="431"/>
      <c r="E737" s="431"/>
      <c r="F737" s="245">
        <f>F736</f>
        <v>2.3303569999999998</v>
      </c>
      <c r="G737" s="128"/>
      <c r="H737" s="128"/>
      <c r="I737" s="128"/>
      <c r="J737" s="245">
        <f>J736</f>
        <v>0.38700000000000001</v>
      </c>
      <c r="K737" s="128"/>
      <c r="L737" s="128"/>
      <c r="M737" s="128"/>
      <c r="N737" s="128"/>
      <c r="O737" s="231"/>
    </row>
    <row r="738" spans="1:15" ht="37.5" x14ac:dyDescent="0.25">
      <c r="A738" s="324">
        <v>293</v>
      </c>
      <c r="B738" s="91" t="s">
        <v>2105</v>
      </c>
      <c r="C738" s="121" t="s">
        <v>2144</v>
      </c>
      <c r="D738" s="121" t="s">
        <v>2144</v>
      </c>
      <c r="E738" s="82" t="s">
        <v>2105</v>
      </c>
      <c r="F738" s="316">
        <v>4.5158469999999999</v>
      </c>
      <c r="G738" s="337" t="s">
        <v>1049</v>
      </c>
      <c r="H738" s="101" t="s">
        <v>1959</v>
      </c>
      <c r="I738" s="304">
        <v>34.799999999999997</v>
      </c>
      <c r="J738" s="316">
        <v>0.751</v>
      </c>
      <c r="K738" s="304">
        <v>6</v>
      </c>
      <c r="L738" s="304"/>
      <c r="M738" s="335" t="s">
        <v>1956</v>
      </c>
      <c r="N738" s="325" t="s">
        <v>859</v>
      </c>
      <c r="O738" s="168"/>
    </row>
    <row r="739" spans="1:15" ht="19.5" x14ac:dyDescent="0.25">
      <c r="A739" s="128"/>
      <c r="B739" s="431" t="s">
        <v>555</v>
      </c>
      <c r="C739" s="431"/>
      <c r="D739" s="431"/>
      <c r="E739" s="431"/>
      <c r="F739" s="245">
        <f>F738</f>
        <v>4.5158469999999999</v>
      </c>
      <c r="G739" s="128"/>
      <c r="H739" s="128"/>
      <c r="I739" s="128"/>
      <c r="J739" s="245">
        <f>J738</f>
        <v>0.751</v>
      </c>
      <c r="K739" s="128"/>
      <c r="L739" s="128"/>
      <c r="M739" s="128"/>
      <c r="N739" s="128"/>
      <c r="O739" s="231"/>
    </row>
    <row r="740" spans="1:15" ht="56.25" x14ac:dyDescent="0.25">
      <c r="A740" s="128">
        <v>294</v>
      </c>
      <c r="B740" s="91" t="s">
        <v>2014</v>
      </c>
      <c r="C740" s="121" t="s">
        <v>2145</v>
      </c>
      <c r="D740" s="121" t="s">
        <v>2169</v>
      </c>
      <c r="E740" s="101" t="s">
        <v>2014</v>
      </c>
      <c r="F740" s="316">
        <v>33.038119999999999</v>
      </c>
      <c r="G740" s="324" t="s">
        <v>1217</v>
      </c>
      <c r="H740" s="101" t="s">
        <v>1896</v>
      </c>
      <c r="I740" s="304">
        <v>532.6</v>
      </c>
      <c r="J740" s="316">
        <v>17.341999999999999</v>
      </c>
      <c r="K740" s="304">
        <v>1.72</v>
      </c>
      <c r="L740" s="304"/>
      <c r="M740" s="293" t="s">
        <v>864</v>
      </c>
      <c r="N740" s="101" t="s">
        <v>554</v>
      </c>
      <c r="O740" s="168">
        <v>2023</v>
      </c>
    </row>
    <row r="741" spans="1:15" ht="19.5" x14ac:dyDescent="0.25">
      <c r="A741" s="128"/>
      <c r="B741" s="431" t="s">
        <v>555</v>
      </c>
      <c r="C741" s="431"/>
      <c r="D741" s="431"/>
      <c r="E741" s="431"/>
      <c r="F741" s="245">
        <f>F740</f>
        <v>33.038119999999999</v>
      </c>
      <c r="G741" s="128"/>
      <c r="H741" s="128"/>
      <c r="I741" s="128"/>
      <c r="J741" s="245">
        <f>J740</f>
        <v>17.341999999999999</v>
      </c>
      <c r="K741" s="128"/>
      <c r="L741" s="128"/>
      <c r="M741" s="128"/>
      <c r="N741" s="128"/>
      <c r="O741" s="231"/>
    </row>
    <row r="742" spans="1:15" ht="56.25" x14ac:dyDescent="0.25">
      <c r="A742" s="128">
        <v>295</v>
      </c>
      <c r="B742" s="91" t="s">
        <v>2015</v>
      </c>
      <c r="C742" s="121" t="s">
        <v>2146</v>
      </c>
      <c r="D742" s="121" t="s">
        <v>2170</v>
      </c>
      <c r="E742" s="101" t="s">
        <v>2015</v>
      </c>
      <c r="F742" s="316">
        <v>41.394739999999999</v>
      </c>
      <c r="G742" s="324" t="s">
        <v>1217</v>
      </c>
      <c r="H742" s="101" t="s">
        <v>37</v>
      </c>
      <c r="I742" s="304">
        <v>250.15</v>
      </c>
      <c r="J742" s="316">
        <v>2.5255999999999998</v>
      </c>
      <c r="K742" s="304">
        <v>9.9499999999999993</v>
      </c>
      <c r="L742" s="304"/>
      <c r="M742" s="101" t="s">
        <v>861</v>
      </c>
      <c r="N742" s="101" t="s">
        <v>554</v>
      </c>
      <c r="O742" s="168">
        <v>2023</v>
      </c>
    </row>
    <row r="743" spans="1:15" ht="19.5" x14ac:dyDescent="0.25">
      <c r="A743" s="128"/>
      <c r="B743" s="431" t="s">
        <v>555</v>
      </c>
      <c r="C743" s="431"/>
      <c r="D743" s="431"/>
      <c r="E743" s="431"/>
      <c r="F743" s="245">
        <f>F742</f>
        <v>41.394739999999999</v>
      </c>
      <c r="G743" s="128"/>
      <c r="H743" s="128"/>
      <c r="I743" s="128"/>
      <c r="J743" s="245">
        <f>J742</f>
        <v>2.5255999999999998</v>
      </c>
      <c r="K743" s="128"/>
      <c r="L743" s="128"/>
      <c r="M743" s="128"/>
      <c r="N743" s="128"/>
      <c r="O743" s="231"/>
    </row>
    <row r="744" spans="1:15" ht="93.75" x14ac:dyDescent="0.25">
      <c r="A744" s="128">
        <v>296</v>
      </c>
      <c r="B744" s="91" t="s">
        <v>2016</v>
      </c>
      <c r="C744" s="121" t="s">
        <v>2147</v>
      </c>
      <c r="D744" s="121" t="s">
        <v>2170</v>
      </c>
      <c r="E744" s="101" t="s">
        <v>2016</v>
      </c>
      <c r="F744" s="316">
        <v>107.8897</v>
      </c>
      <c r="G744" s="324" t="s">
        <v>1217</v>
      </c>
      <c r="H744" s="101" t="s">
        <v>1961</v>
      </c>
      <c r="I744" s="304">
        <v>106936</v>
      </c>
      <c r="J744" s="316">
        <v>10.0779</v>
      </c>
      <c r="K744" s="304">
        <v>6.8</v>
      </c>
      <c r="L744" s="304"/>
      <c r="M744" s="101" t="s">
        <v>861</v>
      </c>
      <c r="N744" s="101" t="s">
        <v>554</v>
      </c>
      <c r="O744" s="168">
        <v>2023</v>
      </c>
    </row>
    <row r="745" spans="1:15" ht="19.5" x14ac:dyDescent="0.25">
      <c r="A745" s="128"/>
      <c r="B745" s="431" t="s">
        <v>555</v>
      </c>
      <c r="C745" s="431"/>
      <c r="D745" s="431"/>
      <c r="E745" s="431"/>
      <c r="F745" s="245">
        <f>F744</f>
        <v>107.8897</v>
      </c>
      <c r="G745" s="128"/>
      <c r="H745" s="128"/>
      <c r="I745" s="128"/>
      <c r="J745" s="245">
        <f>J744</f>
        <v>10.0779</v>
      </c>
      <c r="K745" s="128"/>
      <c r="L745" s="128"/>
      <c r="M745" s="128"/>
      <c r="N745" s="128"/>
      <c r="O745" s="231"/>
    </row>
    <row r="746" spans="1:15" ht="56.25" x14ac:dyDescent="0.25">
      <c r="A746" s="128">
        <v>297</v>
      </c>
      <c r="B746" s="91" t="s">
        <v>2017</v>
      </c>
      <c r="C746" s="121" t="s">
        <v>2148</v>
      </c>
      <c r="D746" s="121" t="s">
        <v>2171</v>
      </c>
      <c r="E746" s="101" t="s">
        <v>2017</v>
      </c>
      <c r="F746" s="316">
        <v>1014.6962</v>
      </c>
      <c r="G746" s="101" t="s">
        <v>988</v>
      </c>
      <c r="H746" s="101" t="s">
        <v>1961</v>
      </c>
      <c r="I746" s="304">
        <v>2467380</v>
      </c>
      <c r="J746" s="316">
        <v>148.95079999999999</v>
      </c>
      <c r="K746" s="304">
        <v>5</v>
      </c>
      <c r="L746" s="304"/>
      <c r="M746" s="293" t="s">
        <v>865</v>
      </c>
      <c r="N746" s="101" t="s">
        <v>859</v>
      </c>
      <c r="O746" s="168">
        <v>2025</v>
      </c>
    </row>
    <row r="747" spans="1:15" ht="19.5" x14ac:dyDescent="0.25">
      <c r="A747" s="128"/>
      <c r="B747" s="431" t="s">
        <v>555</v>
      </c>
      <c r="C747" s="431"/>
      <c r="D747" s="431"/>
      <c r="E747" s="431"/>
      <c r="F747" s="245">
        <f>F746</f>
        <v>1014.6962</v>
      </c>
      <c r="G747" s="128"/>
      <c r="H747" s="128"/>
      <c r="I747" s="128"/>
      <c r="J747" s="245">
        <f>J746</f>
        <v>148.95079999999999</v>
      </c>
      <c r="K747" s="128"/>
      <c r="L747" s="128"/>
      <c r="M747" s="128"/>
      <c r="N747" s="128"/>
      <c r="O747" s="231"/>
    </row>
    <row r="748" spans="1:15" ht="18.75" x14ac:dyDescent="0.25">
      <c r="A748" s="447">
        <v>298</v>
      </c>
      <c r="B748" s="549" t="s">
        <v>1984</v>
      </c>
      <c r="C748" s="495" t="s">
        <v>2030</v>
      </c>
      <c r="D748" s="313" t="s">
        <v>2043</v>
      </c>
      <c r="E748" s="449" t="s">
        <v>1984</v>
      </c>
      <c r="F748" s="316">
        <v>1.1000000000000001</v>
      </c>
      <c r="G748" s="324" t="s">
        <v>1217</v>
      </c>
      <c r="H748" s="101" t="s">
        <v>1961</v>
      </c>
      <c r="I748" s="304">
        <v>13750</v>
      </c>
      <c r="J748" s="316">
        <v>0.33</v>
      </c>
      <c r="K748" s="304">
        <v>3.33</v>
      </c>
      <c r="L748" s="304"/>
      <c r="M748" s="447" t="s">
        <v>1144</v>
      </c>
      <c r="N748" s="447" t="s">
        <v>554</v>
      </c>
      <c r="O748" s="168"/>
    </row>
    <row r="749" spans="1:15" ht="18.75" x14ac:dyDescent="0.25">
      <c r="A749" s="491"/>
      <c r="B749" s="552"/>
      <c r="C749" s="504"/>
      <c r="D749" s="288" t="s">
        <v>2215</v>
      </c>
      <c r="E749" s="490"/>
      <c r="F749" s="126">
        <v>0.2</v>
      </c>
      <c r="G749" s="328"/>
      <c r="H749" s="128" t="s">
        <v>1924</v>
      </c>
      <c r="I749" s="128">
        <v>6000</v>
      </c>
      <c r="J749" s="126">
        <v>0.03</v>
      </c>
      <c r="K749" s="128">
        <v>6.67</v>
      </c>
      <c r="L749" s="128"/>
      <c r="M749" s="491"/>
      <c r="N749" s="491"/>
      <c r="O749" s="231"/>
    </row>
    <row r="750" spans="1:15" ht="18.75" x14ac:dyDescent="0.25">
      <c r="A750" s="491"/>
      <c r="B750" s="552"/>
      <c r="C750" s="504"/>
      <c r="D750" s="288" t="s">
        <v>2216</v>
      </c>
      <c r="E750" s="490"/>
      <c r="F750" s="126">
        <v>0.58499999999999996</v>
      </c>
      <c r="G750" s="328"/>
      <c r="H750" s="127" t="s">
        <v>1924</v>
      </c>
      <c r="I750" s="127">
        <v>2507</v>
      </c>
      <c r="J750" s="126">
        <v>8.7800000000000003E-2</v>
      </c>
      <c r="K750" s="128">
        <v>6.67</v>
      </c>
      <c r="L750" s="128"/>
      <c r="M750" s="491"/>
      <c r="N750" s="491"/>
      <c r="O750" s="231"/>
    </row>
    <row r="751" spans="1:15" ht="18.75" x14ac:dyDescent="0.25">
      <c r="A751" s="491"/>
      <c r="B751" s="552"/>
      <c r="C751" s="504"/>
      <c r="D751" s="288" t="s">
        <v>2217</v>
      </c>
      <c r="E751" s="490"/>
      <c r="F751" s="126">
        <v>0.75</v>
      </c>
      <c r="G751" s="328"/>
      <c r="H751" s="128" t="s">
        <v>1924</v>
      </c>
      <c r="I751" s="128">
        <v>6188</v>
      </c>
      <c r="J751" s="126">
        <v>0.12379999999999999</v>
      </c>
      <c r="K751" s="128">
        <v>6.06</v>
      </c>
      <c r="L751" s="128"/>
      <c r="M751" s="491"/>
      <c r="N751" s="491"/>
      <c r="O751" s="231"/>
    </row>
    <row r="752" spans="1:15" ht="18.75" x14ac:dyDescent="0.25">
      <c r="A752" s="491"/>
      <c r="B752" s="552"/>
      <c r="C752" s="504"/>
      <c r="D752" s="288" t="s">
        <v>2218</v>
      </c>
      <c r="E752" s="490"/>
      <c r="F752" s="126">
        <v>1.268</v>
      </c>
      <c r="G752" s="328"/>
      <c r="H752" s="128" t="s">
        <v>1961</v>
      </c>
      <c r="I752" s="128">
        <v>24000</v>
      </c>
      <c r="J752" s="126">
        <v>0.624</v>
      </c>
      <c r="K752" s="128">
        <v>2.0299999999999998</v>
      </c>
      <c r="L752" s="128"/>
      <c r="M752" s="491"/>
      <c r="N752" s="491"/>
      <c r="O752" s="231"/>
    </row>
    <row r="753" spans="1:15" ht="18.75" x14ac:dyDescent="0.25">
      <c r="A753" s="491"/>
      <c r="B753" s="552"/>
      <c r="C753" s="504"/>
      <c r="D753" s="288" t="s">
        <v>2219</v>
      </c>
      <c r="E753" s="490"/>
      <c r="F753" s="126">
        <v>0.98</v>
      </c>
      <c r="G753" s="328"/>
      <c r="H753" s="127" t="s">
        <v>1924</v>
      </c>
      <c r="I753" s="127">
        <v>4760</v>
      </c>
      <c r="J753" s="126">
        <v>0.1666</v>
      </c>
      <c r="K753" s="128">
        <v>5.88</v>
      </c>
      <c r="L753" s="128"/>
      <c r="M753" s="491"/>
      <c r="N753" s="491"/>
      <c r="O753" s="231"/>
    </row>
    <row r="754" spans="1:15" ht="18.75" x14ac:dyDescent="0.25">
      <c r="A754" s="491"/>
      <c r="B754" s="552"/>
      <c r="C754" s="504"/>
      <c r="D754" s="288" t="s">
        <v>2220</v>
      </c>
      <c r="E754" s="490"/>
      <c r="F754" s="126">
        <v>0.28000000000000003</v>
      </c>
      <c r="G754" s="328"/>
      <c r="H754" s="128" t="s">
        <v>1961</v>
      </c>
      <c r="I754" s="128">
        <v>11200</v>
      </c>
      <c r="J754" s="126">
        <v>0.2576</v>
      </c>
      <c r="K754" s="128">
        <v>1.0900000000000001</v>
      </c>
      <c r="L754" s="128"/>
      <c r="M754" s="491"/>
      <c r="N754" s="491"/>
      <c r="O754" s="231"/>
    </row>
    <row r="755" spans="1:15" ht="18.75" x14ac:dyDescent="0.25">
      <c r="A755" s="491"/>
      <c r="B755" s="552"/>
      <c r="C755" s="504"/>
      <c r="D755" s="288" t="s">
        <v>2221</v>
      </c>
      <c r="E755" s="490"/>
      <c r="F755" s="126">
        <v>0.35</v>
      </c>
      <c r="G755" s="328"/>
      <c r="H755" s="127" t="s">
        <v>1924</v>
      </c>
      <c r="I755" s="127">
        <v>2000</v>
      </c>
      <c r="J755" s="126">
        <v>7.0000000000000007E-2</v>
      </c>
      <c r="K755" s="128">
        <v>0.5</v>
      </c>
      <c r="L755" s="128"/>
      <c r="M755" s="491"/>
      <c r="N755" s="491"/>
      <c r="O755" s="231"/>
    </row>
    <row r="756" spans="1:15" ht="18.75" x14ac:dyDescent="0.25">
      <c r="A756" s="491"/>
      <c r="B756" s="552"/>
      <c r="C756" s="504"/>
      <c r="D756" s="271" t="s">
        <v>2222</v>
      </c>
      <c r="E756" s="490"/>
      <c r="F756" s="126">
        <v>0.15</v>
      </c>
      <c r="G756" s="328"/>
      <c r="H756" s="128" t="s">
        <v>1961</v>
      </c>
      <c r="I756" s="128">
        <v>15000</v>
      </c>
      <c r="J756" s="126">
        <v>2.5499999999999998E-2</v>
      </c>
      <c r="K756" s="128">
        <v>5.88</v>
      </c>
      <c r="L756" s="128"/>
      <c r="M756" s="491"/>
      <c r="N756" s="491"/>
      <c r="O756" s="231"/>
    </row>
    <row r="757" spans="1:15" ht="18.75" x14ac:dyDescent="0.25">
      <c r="A757" s="448"/>
      <c r="B757" s="550"/>
      <c r="C757" s="496"/>
      <c r="D757" s="288" t="s">
        <v>2223</v>
      </c>
      <c r="E757" s="433"/>
      <c r="F757" s="126">
        <v>1.1000000000000001</v>
      </c>
      <c r="G757" s="116"/>
      <c r="H757" s="127" t="s">
        <v>1924</v>
      </c>
      <c r="I757" s="127">
        <v>14000</v>
      </c>
      <c r="J757" s="126">
        <v>0.16500000000000001</v>
      </c>
      <c r="K757" s="128">
        <v>6.67</v>
      </c>
      <c r="L757" s="128"/>
      <c r="M757" s="448"/>
      <c r="N757" s="448"/>
      <c r="O757" s="231"/>
    </row>
    <row r="758" spans="1:15" ht="19.5" x14ac:dyDescent="0.25">
      <c r="A758" s="128"/>
      <c r="B758" s="431" t="s">
        <v>555</v>
      </c>
      <c r="C758" s="431"/>
      <c r="D758" s="431"/>
      <c r="E758" s="431"/>
      <c r="F758" s="245">
        <f>F748+F749+F750+F751+F752+F753+F754+F755+F756+F757</f>
        <v>6.7629999999999999</v>
      </c>
      <c r="G758" s="245"/>
      <c r="H758" s="245"/>
      <c r="I758" s="245"/>
      <c r="J758" s="245">
        <f>J748+J749+J750+J751+J752+J753+J754+J755+J756+J757</f>
        <v>1.8803000000000003</v>
      </c>
      <c r="K758" s="128"/>
      <c r="L758" s="128"/>
      <c r="M758" s="128"/>
      <c r="N758" s="128"/>
      <c r="O758" s="231"/>
    </row>
    <row r="759" spans="1:15" ht="18.75" x14ac:dyDescent="0.25">
      <c r="A759" s="447">
        <v>299</v>
      </c>
      <c r="B759" s="553" t="s">
        <v>1984</v>
      </c>
      <c r="C759" s="495" t="s">
        <v>2030</v>
      </c>
      <c r="D759" s="121" t="s">
        <v>2044</v>
      </c>
      <c r="E759" s="449" t="s">
        <v>1984</v>
      </c>
      <c r="F759" s="316">
        <v>1</v>
      </c>
      <c r="G759" s="324" t="s">
        <v>1217</v>
      </c>
      <c r="H759" s="101" t="s">
        <v>1961</v>
      </c>
      <c r="I759" s="304">
        <v>12000</v>
      </c>
      <c r="J759" s="316">
        <v>0.3</v>
      </c>
      <c r="K759" s="304">
        <v>3.33</v>
      </c>
      <c r="L759" s="304"/>
      <c r="M759" s="449" t="s">
        <v>1144</v>
      </c>
      <c r="N759" s="447" t="s">
        <v>554</v>
      </c>
      <c r="O759" s="168"/>
    </row>
    <row r="760" spans="1:15" ht="18.75" x14ac:dyDescent="0.25">
      <c r="A760" s="491"/>
      <c r="B760" s="554"/>
      <c r="C760" s="504"/>
      <c r="D760" s="195" t="s">
        <v>2215</v>
      </c>
      <c r="E760" s="490"/>
      <c r="F760" s="126">
        <v>0.1</v>
      </c>
      <c r="G760" s="328"/>
      <c r="H760" s="127" t="s">
        <v>1924</v>
      </c>
      <c r="I760" s="127">
        <v>5000</v>
      </c>
      <c r="J760" s="126">
        <v>0.1817</v>
      </c>
      <c r="K760" s="128">
        <v>0.55000000000000004</v>
      </c>
      <c r="L760" s="128"/>
      <c r="M760" s="490"/>
      <c r="N760" s="491"/>
      <c r="O760" s="231"/>
    </row>
    <row r="761" spans="1:15" ht="18.75" x14ac:dyDescent="0.25">
      <c r="A761" s="491"/>
      <c r="B761" s="554"/>
      <c r="C761" s="504"/>
      <c r="D761" s="195" t="s">
        <v>2224</v>
      </c>
      <c r="E761" s="490"/>
      <c r="F761" s="126">
        <v>0.42499999999999999</v>
      </c>
      <c r="G761" s="328"/>
      <c r="H761" s="128" t="s">
        <v>1924</v>
      </c>
      <c r="I761" s="128">
        <v>5000</v>
      </c>
      <c r="J761" s="126">
        <v>0.16750000000000001</v>
      </c>
      <c r="K761" s="128">
        <v>2.54</v>
      </c>
      <c r="L761" s="128"/>
      <c r="M761" s="490"/>
      <c r="N761" s="491"/>
      <c r="O761" s="231"/>
    </row>
    <row r="762" spans="1:15" ht="18.75" x14ac:dyDescent="0.25">
      <c r="A762" s="491"/>
      <c r="B762" s="554"/>
      <c r="C762" s="504"/>
      <c r="D762" s="195" t="s">
        <v>2217</v>
      </c>
      <c r="E762" s="490"/>
      <c r="F762" s="126">
        <v>0.68</v>
      </c>
      <c r="G762" s="328"/>
      <c r="H762" s="128" t="s">
        <v>1924</v>
      </c>
      <c r="I762" s="128">
        <v>5181</v>
      </c>
      <c r="J762" s="126">
        <v>0.10879999999999999</v>
      </c>
      <c r="K762" s="128">
        <v>6.25</v>
      </c>
      <c r="L762" s="128"/>
      <c r="M762" s="490"/>
      <c r="N762" s="491"/>
      <c r="O762" s="231"/>
    </row>
    <row r="763" spans="1:15" ht="18.75" x14ac:dyDescent="0.25">
      <c r="A763" s="491"/>
      <c r="B763" s="554"/>
      <c r="C763" s="504"/>
      <c r="D763" s="195" t="s">
        <v>2225</v>
      </c>
      <c r="E763" s="490"/>
      <c r="F763" s="126">
        <v>1.1679999999999999</v>
      </c>
      <c r="G763" s="328"/>
      <c r="H763" s="127" t="s">
        <v>1961</v>
      </c>
      <c r="I763" s="127">
        <v>30000</v>
      </c>
      <c r="J763" s="126">
        <v>0.35039999999999999</v>
      </c>
      <c r="K763" s="128">
        <v>3.33</v>
      </c>
      <c r="L763" s="128"/>
      <c r="M763" s="490"/>
      <c r="N763" s="491"/>
      <c r="O763" s="231"/>
    </row>
    <row r="764" spans="1:15" ht="18.75" x14ac:dyDescent="0.25">
      <c r="A764" s="491"/>
      <c r="B764" s="554"/>
      <c r="C764" s="504"/>
      <c r="D764" s="195" t="s">
        <v>2219</v>
      </c>
      <c r="E764" s="490"/>
      <c r="F764" s="126">
        <v>0.9</v>
      </c>
      <c r="G764" s="328"/>
      <c r="H764" s="128" t="s">
        <v>1924</v>
      </c>
      <c r="I764" s="128">
        <v>3857</v>
      </c>
      <c r="J764" s="126">
        <v>0.13500000000000001</v>
      </c>
      <c r="K764" s="128">
        <v>6.67</v>
      </c>
      <c r="L764" s="128"/>
      <c r="M764" s="490"/>
      <c r="N764" s="491"/>
      <c r="O764" s="231"/>
    </row>
    <row r="765" spans="1:15" ht="18.75" x14ac:dyDescent="0.25">
      <c r="A765" s="491"/>
      <c r="B765" s="554"/>
      <c r="C765" s="504"/>
      <c r="D765" s="195" t="s">
        <v>2220</v>
      </c>
      <c r="E765" s="490"/>
      <c r="F765" s="126">
        <v>0.2</v>
      </c>
      <c r="G765" s="328"/>
      <c r="H765" s="127" t="s">
        <v>1961</v>
      </c>
      <c r="I765" s="127">
        <v>10000</v>
      </c>
      <c r="J765" s="126">
        <v>0.25</v>
      </c>
      <c r="K765" s="128">
        <v>0.8</v>
      </c>
      <c r="L765" s="128"/>
      <c r="M765" s="490"/>
      <c r="N765" s="491"/>
      <c r="O765" s="231"/>
    </row>
    <row r="766" spans="1:15" ht="18.75" x14ac:dyDescent="0.25">
      <c r="A766" s="491"/>
      <c r="B766" s="554"/>
      <c r="C766" s="504"/>
      <c r="D766" s="195" t="s">
        <v>2221</v>
      </c>
      <c r="E766" s="490"/>
      <c r="F766" s="126">
        <v>0.02</v>
      </c>
      <c r="G766" s="328"/>
      <c r="H766" s="128" t="s">
        <v>1924</v>
      </c>
      <c r="I766" s="128">
        <v>1000</v>
      </c>
      <c r="J766" s="126">
        <v>0.01</v>
      </c>
      <c r="K766" s="128">
        <v>2</v>
      </c>
      <c r="L766" s="128"/>
      <c r="M766" s="490"/>
      <c r="N766" s="491"/>
      <c r="O766" s="231"/>
    </row>
    <row r="767" spans="1:15" ht="18.75" x14ac:dyDescent="0.25">
      <c r="A767" s="491"/>
      <c r="B767" s="554"/>
      <c r="C767" s="504"/>
      <c r="D767" s="195" t="s">
        <v>2222</v>
      </c>
      <c r="E767" s="490"/>
      <c r="F767" s="126">
        <v>0.1</v>
      </c>
      <c r="G767" s="328"/>
      <c r="H767" s="127" t="s">
        <v>1961</v>
      </c>
      <c r="I767" s="127">
        <v>4000</v>
      </c>
      <c r="J767" s="126">
        <v>0.1012</v>
      </c>
      <c r="K767" s="128">
        <v>0.99</v>
      </c>
      <c r="L767" s="128"/>
      <c r="M767" s="490"/>
      <c r="N767" s="491"/>
      <c r="O767" s="231"/>
    </row>
    <row r="768" spans="1:15" ht="18.75" x14ac:dyDescent="0.25">
      <c r="A768" s="448"/>
      <c r="B768" s="555"/>
      <c r="C768" s="496"/>
      <c r="D768" s="195" t="s">
        <v>2223</v>
      </c>
      <c r="E768" s="433"/>
      <c r="F768" s="126">
        <v>1.03</v>
      </c>
      <c r="G768" s="116"/>
      <c r="H768" s="128" t="s">
        <v>1924</v>
      </c>
      <c r="I768" s="128">
        <v>13000</v>
      </c>
      <c r="J768" s="126">
        <v>0.1545</v>
      </c>
      <c r="K768" s="128">
        <v>6.67</v>
      </c>
      <c r="L768" s="128"/>
      <c r="M768" s="433"/>
      <c r="N768" s="448"/>
      <c r="O768" s="231"/>
    </row>
    <row r="769" spans="1:15" ht="19.5" x14ac:dyDescent="0.25">
      <c r="A769" s="128"/>
      <c r="B769" s="431" t="s">
        <v>555</v>
      </c>
      <c r="C769" s="431"/>
      <c r="D769" s="431"/>
      <c r="E769" s="431"/>
      <c r="F769" s="245">
        <f>F759+F760+F761+F762+F763+F764+F765+F766+F767+F768</f>
        <v>5.6230000000000002</v>
      </c>
      <c r="G769" s="245"/>
      <c r="H769" s="245"/>
      <c r="I769" s="245"/>
      <c r="J769" s="245">
        <f>J759+J760+J761+J762+J763+J764+J765+J766+J767+J768</f>
        <v>1.7591000000000001</v>
      </c>
      <c r="K769" s="128"/>
      <c r="L769" s="128"/>
      <c r="M769" s="128"/>
      <c r="N769" s="128"/>
      <c r="O769" s="231"/>
    </row>
    <row r="770" spans="1:15" ht="18.75" x14ac:dyDescent="0.25">
      <c r="A770" s="453">
        <v>300</v>
      </c>
      <c r="B770" s="551" t="s">
        <v>1984</v>
      </c>
      <c r="C770" s="438" t="s">
        <v>2030</v>
      </c>
      <c r="D770" s="121" t="s">
        <v>2045</v>
      </c>
      <c r="E770" s="499" t="s">
        <v>1984</v>
      </c>
      <c r="F770" s="316">
        <v>0.68</v>
      </c>
      <c r="G770" s="324" t="s">
        <v>1217</v>
      </c>
      <c r="H770" s="101" t="s">
        <v>1924</v>
      </c>
      <c r="I770" s="304">
        <v>5542</v>
      </c>
      <c r="J770" s="316">
        <v>0.1108</v>
      </c>
      <c r="K770" s="304">
        <v>6.13</v>
      </c>
      <c r="L770" s="304"/>
      <c r="M770" s="447" t="s">
        <v>1144</v>
      </c>
      <c r="N770" s="492" t="s">
        <v>554</v>
      </c>
      <c r="O770" s="223"/>
    </row>
    <row r="771" spans="1:15" ht="18.75" x14ac:dyDescent="0.25">
      <c r="A771" s="453"/>
      <c r="B771" s="551"/>
      <c r="C771" s="438"/>
      <c r="D771" s="195" t="s">
        <v>2226</v>
      </c>
      <c r="E771" s="500"/>
      <c r="F771" s="126">
        <v>0.7</v>
      </c>
      <c r="G771" s="331"/>
      <c r="H771" s="128" t="s">
        <v>1961</v>
      </c>
      <c r="I771" s="128">
        <v>8400</v>
      </c>
      <c r="J771" s="126">
        <v>0.21</v>
      </c>
      <c r="K771" s="128">
        <v>3.33</v>
      </c>
      <c r="L771" s="128"/>
      <c r="M771" s="491"/>
      <c r="N771" s="493"/>
      <c r="O771" s="223"/>
    </row>
    <row r="772" spans="1:15" ht="18.75" x14ac:dyDescent="0.25">
      <c r="A772" s="453"/>
      <c r="B772" s="551"/>
      <c r="C772" s="438"/>
      <c r="D772" s="195" t="s">
        <v>2220</v>
      </c>
      <c r="E772" s="501"/>
      <c r="F772" s="126">
        <v>0.08</v>
      </c>
      <c r="G772" s="165"/>
      <c r="H772" s="127" t="s">
        <v>1961</v>
      </c>
      <c r="I772" s="127">
        <v>4000</v>
      </c>
      <c r="J772" s="126">
        <v>9.6799999999999997E-2</v>
      </c>
      <c r="K772" s="128">
        <v>0.83</v>
      </c>
      <c r="L772" s="128"/>
      <c r="M772" s="448"/>
      <c r="N772" s="494"/>
      <c r="O772" s="231"/>
    </row>
    <row r="773" spans="1:15" ht="19.5" x14ac:dyDescent="0.25">
      <c r="A773" s="128"/>
      <c r="B773" s="431" t="s">
        <v>555</v>
      </c>
      <c r="C773" s="431"/>
      <c r="D773" s="431"/>
      <c r="E773" s="431"/>
      <c r="F773" s="245">
        <f>F770+F771+F772</f>
        <v>1.46</v>
      </c>
      <c r="G773" s="245"/>
      <c r="H773" s="245"/>
      <c r="I773" s="245"/>
      <c r="J773" s="245">
        <f>J770+J771+J772</f>
        <v>0.41759999999999997</v>
      </c>
      <c r="K773" s="128"/>
      <c r="L773" s="128"/>
      <c r="M773" s="128"/>
      <c r="N773" s="128"/>
      <c r="O773" s="231"/>
    </row>
    <row r="774" spans="1:15" ht="37.5" x14ac:dyDescent="0.25">
      <c r="A774" s="128">
        <v>301</v>
      </c>
      <c r="B774" s="91" t="s">
        <v>2180</v>
      </c>
      <c r="C774" s="121" t="s">
        <v>2179</v>
      </c>
      <c r="D774" s="121" t="s">
        <v>2179</v>
      </c>
      <c r="E774" s="82" t="s">
        <v>1928</v>
      </c>
      <c r="F774" s="316">
        <v>1.5</v>
      </c>
      <c r="G774" s="324" t="s">
        <v>1217</v>
      </c>
      <c r="H774" s="101" t="s">
        <v>1961</v>
      </c>
      <c r="I774" s="304">
        <v>12000</v>
      </c>
      <c r="J774" s="316">
        <v>0.33600000000000002</v>
      </c>
      <c r="K774" s="304">
        <v>1</v>
      </c>
      <c r="L774" s="304"/>
      <c r="M774" s="101" t="s">
        <v>1144</v>
      </c>
      <c r="N774" s="101" t="s">
        <v>554</v>
      </c>
      <c r="O774" s="168"/>
    </row>
    <row r="775" spans="1:15" ht="19.5" x14ac:dyDescent="0.25">
      <c r="A775" s="128"/>
      <c r="B775" s="431" t="s">
        <v>555</v>
      </c>
      <c r="C775" s="431"/>
      <c r="D775" s="431"/>
      <c r="E775" s="431"/>
      <c r="F775" s="245">
        <f>F774</f>
        <v>1.5</v>
      </c>
      <c r="G775" s="128"/>
      <c r="H775" s="128"/>
      <c r="I775" s="128"/>
      <c r="J775" s="245">
        <f>J774</f>
        <v>0.33600000000000002</v>
      </c>
      <c r="K775" s="128"/>
      <c r="L775" s="128"/>
      <c r="M775" s="128"/>
      <c r="N775" s="128"/>
      <c r="O775" s="231"/>
    </row>
    <row r="776" spans="1:15" ht="18.75" x14ac:dyDescent="0.25">
      <c r="A776" s="128">
        <v>302</v>
      </c>
      <c r="B776" s="315" t="s">
        <v>2018</v>
      </c>
      <c r="C776" s="13" t="s">
        <v>2149</v>
      </c>
      <c r="D776" s="13" t="s">
        <v>2149</v>
      </c>
      <c r="E776" s="101" t="s">
        <v>2018</v>
      </c>
      <c r="F776" s="316">
        <v>4.0199999999999996</v>
      </c>
      <c r="G776" s="324" t="s">
        <v>1217</v>
      </c>
      <c r="H776" s="101" t="s">
        <v>1924</v>
      </c>
      <c r="I776" s="304">
        <v>340890</v>
      </c>
      <c r="J776" s="316">
        <v>11.316000000000001</v>
      </c>
      <c r="K776" s="304">
        <v>0.4</v>
      </c>
      <c r="L776" s="304"/>
      <c r="M776" s="101" t="s">
        <v>1144</v>
      </c>
      <c r="N776" s="101" t="s">
        <v>554</v>
      </c>
      <c r="O776" s="168"/>
    </row>
    <row r="777" spans="1:15" ht="19.5" x14ac:dyDescent="0.25">
      <c r="A777" s="128"/>
      <c r="B777" s="431" t="s">
        <v>555</v>
      </c>
      <c r="C777" s="431"/>
      <c r="D777" s="431"/>
      <c r="E777" s="431"/>
      <c r="F777" s="245">
        <f>F776</f>
        <v>4.0199999999999996</v>
      </c>
      <c r="G777" s="128"/>
      <c r="H777" s="128"/>
      <c r="I777" s="128"/>
      <c r="J777" s="245">
        <f>J776</f>
        <v>11.316000000000001</v>
      </c>
      <c r="K777" s="128"/>
      <c r="L777" s="128"/>
      <c r="M777" s="128"/>
      <c r="N777" s="128"/>
      <c r="O777" s="231"/>
    </row>
    <row r="778" spans="1:15" ht="18.75" x14ac:dyDescent="0.25">
      <c r="A778" s="128">
        <v>303</v>
      </c>
      <c r="B778" s="315" t="s">
        <v>2018</v>
      </c>
      <c r="C778" s="13" t="s">
        <v>2153</v>
      </c>
      <c r="D778" s="13" t="s">
        <v>2153</v>
      </c>
      <c r="E778" s="101" t="s">
        <v>2018</v>
      </c>
      <c r="F778" s="316">
        <v>4.7359999999999998</v>
      </c>
      <c r="G778" s="324" t="s">
        <v>1217</v>
      </c>
      <c r="H778" s="101" t="s">
        <v>1961</v>
      </c>
      <c r="I778" s="304">
        <v>138104</v>
      </c>
      <c r="J778" s="316">
        <v>4.1680000000000001</v>
      </c>
      <c r="K778" s="304">
        <v>1.2</v>
      </c>
      <c r="L778" s="304"/>
      <c r="M778" s="101" t="s">
        <v>1144</v>
      </c>
      <c r="N778" s="101" t="s">
        <v>554</v>
      </c>
      <c r="O778" s="168"/>
    </row>
    <row r="779" spans="1:15" ht="19.5" x14ac:dyDescent="0.25">
      <c r="A779" s="128"/>
      <c r="B779" s="431" t="s">
        <v>555</v>
      </c>
      <c r="C779" s="431"/>
      <c r="D779" s="431"/>
      <c r="E779" s="431"/>
      <c r="F779" s="245">
        <f>F778</f>
        <v>4.7359999999999998</v>
      </c>
      <c r="G779" s="128"/>
      <c r="H779" s="128"/>
      <c r="I779" s="128"/>
      <c r="J779" s="245">
        <f>J778</f>
        <v>4.1680000000000001</v>
      </c>
      <c r="K779" s="128"/>
      <c r="L779" s="128"/>
      <c r="M779" s="128"/>
      <c r="N779" s="128"/>
      <c r="O779" s="231"/>
    </row>
    <row r="780" spans="1:15" ht="37.5" x14ac:dyDescent="0.25">
      <c r="A780" s="128">
        <v>304</v>
      </c>
      <c r="B780" s="315" t="s">
        <v>2018</v>
      </c>
      <c r="C780" s="121" t="s">
        <v>2150</v>
      </c>
      <c r="D780" s="121" t="s">
        <v>2150</v>
      </c>
      <c r="E780" s="101" t="s">
        <v>2018</v>
      </c>
      <c r="F780" s="200">
        <v>2.4430000000000001</v>
      </c>
      <c r="G780" s="324" t="s">
        <v>1217</v>
      </c>
      <c r="H780" s="254" t="s">
        <v>1961</v>
      </c>
      <c r="I780" s="199">
        <v>44740</v>
      </c>
      <c r="J780" s="200">
        <v>1.264</v>
      </c>
      <c r="K780" s="199">
        <v>1.9</v>
      </c>
      <c r="L780" s="199"/>
      <c r="M780" s="205" t="s">
        <v>1144</v>
      </c>
      <c r="N780" s="123" t="s">
        <v>554</v>
      </c>
      <c r="O780" s="168"/>
    </row>
    <row r="781" spans="1:15" ht="19.5" x14ac:dyDescent="0.25">
      <c r="A781" s="128"/>
      <c r="B781" s="431" t="s">
        <v>555</v>
      </c>
      <c r="C781" s="431"/>
      <c r="D781" s="431"/>
      <c r="E781" s="431"/>
      <c r="F781" s="245">
        <f>F780</f>
        <v>2.4430000000000001</v>
      </c>
      <c r="G781" s="128"/>
      <c r="H781" s="128"/>
      <c r="I781" s="128"/>
      <c r="J781" s="245">
        <f>J780</f>
        <v>1.264</v>
      </c>
      <c r="K781" s="128"/>
      <c r="L781" s="128"/>
      <c r="M781" s="128"/>
      <c r="N781" s="128"/>
      <c r="O781" s="231"/>
    </row>
    <row r="782" spans="1:15" ht="112.5" x14ac:dyDescent="0.25">
      <c r="A782" s="324">
        <v>305</v>
      </c>
      <c r="B782" s="323" t="s">
        <v>2242</v>
      </c>
      <c r="C782" s="323" t="s">
        <v>2241</v>
      </c>
      <c r="D782" s="323" t="s">
        <v>2241</v>
      </c>
      <c r="E782" s="101" t="s">
        <v>2002</v>
      </c>
      <c r="F782" s="316">
        <v>156.607</v>
      </c>
      <c r="G782" s="101" t="s">
        <v>988</v>
      </c>
      <c r="H782" s="101" t="s">
        <v>1776</v>
      </c>
      <c r="I782" s="304">
        <v>602315</v>
      </c>
      <c r="J782" s="316">
        <v>16.913</v>
      </c>
      <c r="K782" s="304">
        <v>5</v>
      </c>
      <c r="L782" s="128"/>
      <c r="M782" s="342" t="s">
        <v>1950</v>
      </c>
      <c r="N782" s="123" t="s">
        <v>554</v>
      </c>
      <c r="O782" s="231"/>
    </row>
    <row r="783" spans="1:15" ht="19.5" x14ac:dyDescent="0.25">
      <c r="A783" s="128"/>
      <c r="B783" s="431" t="s">
        <v>555</v>
      </c>
      <c r="C783" s="431"/>
      <c r="D783" s="431"/>
      <c r="E783" s="431"/>
      <c r="F783" s="245">
        <f>F782</f>
        <v>156.607</v>
      </c>
      <c r="G783" s="245"/>
      <c r="H783" s="245"/>
      <c r="I783" s="199"/>
      <c r="J783" s="245">
        <f>J782</f>
        <v>16.913</v>
      </c>
      <c r="K783" s="128"/>
      <c r="L783" s="128"/>
      <c r="M783" s="128"/>
      <c r="N783" s="128"/>
      <c r="O783" s="231"/>
    </row>
    <row r="784" spans="1:15" ht="56.25" x14ac:dyDescent="0.25">
      <c r="A784" s="324">
        <v>306</v>
      </c>
      <c r="B784" s="312" t="s">
        <v>1985</v>
      </c>
      <c r="C784" s="121" t="s">
        <v>2031</v>
      </c>
      <c r="D784" s="121" t="s">
        <v>2046</v>
      </c>
      <c r="E784" s="314" t="s">
        <v>1985</v>
      </c>
      <c r="F784" s="316">
        <v>357.66941300000002</v>
      </c>
      <c r="G784" s="324" t="s">
        <v>1217</v>
      </c>
      <c r="H784" s="254" t="s">
        <v>1961</v>
      </c>
      <c r="I784" s="358">
        <v>682788.09600000002</v>
      </c>
      <c r="J784" s="316">
        <v>18.200399000000001</v>
      </c>
      <c r="K784" s="304">
        <v>19.600000000000001</v>
      </c>
      <c r="L784" s="304"/>
      <c r="M784" s="205" t="s">
        <v>1153</v>
      </c>
      <c r="N784" s="101" t="s">
        <v>554</v>
      </c>
      <c r="O784" s="168"/>
    </row>
    <row r="785" spans="1:15" ht="19.5" x14ac:dyDescent="0.25">
      <c r="A785" s="128"/>
      <c r="B785" s="431" t="s">
        <v>555</v>
      </c>
      <c r="C785" s="431"/>
      <c r="D785" s="431"/>
      <c r="E785" s="431"/>
      <c r="F785" s="245">
        <f>F784</f>
        <v>357.66941300000002</v>
      </c>
      <c r="G785" s="245"/>
      <c r="H785" s="245"/>
      <c r="I785" s="199"/>
      <c r="J785" s="245">
        <f>J784</f>
        <v>18.200399000000001</v>
      </c>
      <c r="K785" s="128"/>
      <c r="L785" s="128"/>
      <c r="M785" s="128"/>
      <c r="N785" s="128"/>
      <c r="O785" s="231"/>
    </row>
    <row r="786" spans="1:15" ht="18.75" x14ac:dyDescent="0.25">
      <c r="A786" s="324">
        <v>307</v>
      </c>
      <c r="B786" s="103" t="s">
        <v>2083</v>
      </c>
      <c r="C786" s="121" t="s">
        <v>2094</v>
      </c>
      <c r="D786" s="121" t="s">
        <v>971</v>
      </c>
      <c r="E786" s="82" t="s">
        <v>2101</v>
      </c>
      <c r="F786" s="316">
        <v>13.3195</v>
      </c>
      <c r="G786" s="101" t="s">
        <v>428</v>
      </c>
      <c r="H786" s="101" t="s">
        <v>37</v>
      </c>
      <c r="I786" s="304">
        <v>301.7</v>
      </c>
      <c r="J786" s="316">
        <v>1.7024999999999999</v>
      </c>
      <c r="K786" s="304">
        <v>14</v>
      </c>
      <c r="L786" s="304"/>
      <c r="M786" s="101"/>
      <c r="N786" s="101"/>
      <c r="O786" s="231"/>
    </row>
    <row r="787" spans="1:15" ht="19.5" x14ac:dyDescent="0.25">
      <c r="A787" s="324"/>
      <c r="B787" s="431" t="s">
        <v>555</v>
      </c>
      <c r="C787" s="431"/>
      <c r="D787" s="431"/>
      <c r="E787" s="431"/>
      <c r="F787" s="245">
        <f>F786</f>
        <v>13.3195</v>
      </c>
      <c r="G787" s="128"/>
      <c r="H787" s="128"/>
      <c r="I787" s="128"/>
      <c r="J787" s="245">
        <f>J786</f>
        <v>1.7024999999999999</v>
      </c>
      <c r="K787" s="128"/>
      <c r="L787" s="128"/>
      <c r="M787" s="128"/>
      <c r="N787" s="128"/>
      <c r="O787" s="231"/>
    </row>
    <row r="788" spans="1:15" ht="56.25" x14ac:dyDescent="0.25">
      <c r="A788" s="324">
        <v>308</v>
      </c>
      <c r="B788" s="312" t="s">
        <v>1985</v>
      </c>
      <c r="C788" s="121" t="s">
        <v>2032</v>
      </c>
      <c r="D788" s="121" t="s">
        <v>2047</v>
      </c>
      <c r="E788" s="314" t="s">
        <v>1985</v>
      </c>
      <c r="F788" s="316">
        <v>429.879887</v>
      </c>
      <c r="G788" s="324" t="s">
        <v>1217</v>
      </c>
      <c r="H788" s="254" t="s">
        <v>1961</v>
      </c>
      <c r="I788" s="358">
        <v>682788.09600000002</v>
      </c>
      <c r="J788" s="316">
        <v>14.33855</v>
      </c>
      <c r="K788" s="304">
        <v>29</v>
      </c>
      <c r="L788" s="304"/>
      <c r="M788" s="205" t="s">
        <v>1153</v>
      </c>
      <c r="N788" s="101" t="s">
        <v>554</v>
      </c>
      <c r="O788" s="168"/>
    </row>
    <row r="789" spans="1:15" ht="19.5" x14ac:dyDescent="0.25">
      <c r="A789" s="128"/>
      <c r="B789" s="431" t="s">
        <v>555</v>
      </c>
      <c r="C789" s="431"/>
      <c r="D789" s="431"/>
      <c r="E789" s="431"/>
      <c r="F789" s="245">
        <f>F788</f>
        <v>429.879887</v>
      </c>
      <c r="G789" s="245"/>
      <c r="H789" s="245"/>
      <c r="I789" s="245"/>
      <c r="J789" s="245">
        <f>J788</f>
        <v>14.33855</v>
      </c>
      <c r="K789" s="128"/>
      <c r="L789" s="128"/>
      <c r="M789" s="128"/>
      <c r="N789" s="128"/>
      <c r="O789" s="231"/>
    </row>
    <row r="790" spans="1:15" ht="56.25" x14ac:dyDescent="0.25">
      <c r="A790" s="128">
        <v>309</v>
      </c>
      <c r="B790" s="91" t="s">
        <v>2065</v>
      </c>
      <c r="C790" s="121" t="s">
        <v>2078</v>
      </c>
      <c r="D790" s="121" t="s">
        <v>2078</v>
      </c>
      <c r="E790" s="82" t="s">
        <v>2065</v>
      </c>
      <c r="F790" s="316">
        <v>1934.393</v>
      </c>
      <c r="G790" s="101" t="s">
        <v>988</v>
      </c>
      <c r="H790" s="254" t="s">
        <v>1961</v>
      </c>
      <c r="I790" s="304">
        <v>1377010</v>
      </c>
      <c r="J790" s="316">
        <v>63.112499999999997</v>
      </c>
      <c r="K790" s="304">
        <v>5</v>
      </c>
      <c r="L790" s="304"/>
      <c r="M790" s="101" t="s">
        <v>1106</v>
      </c>
      <c r="N790" s="101" t="s">
        <v>859</v>
      </c>
      <c r="O790" s="231"/>
    </row>
    <row r="791" spans="1:15" ht="19.5" x14ac:dyDescent="0.25">
      <c r="A791" s="128"/>
      <c r="B791" s="431" t="s">
        <v>555</v>
      </c>
      <c r="C791" s="431"/>
      <c r="D791" s="431"/>
      <c r="E791" s="431"/>
      <c r="F791" s="245">
        <f>F790</f>
        <v>1934.393</v>
      </c>
      <c r="G791" s="128"/>
      <c r="H791" s="128"/>
      <c r="I791" s="128"/>
      <c r="J791" s="245">
        <f>J790</f>
        <v>63.112499999999997</v>
      </c>
      <c r="K791" s="128"/>
      <c r="L791" s="128"/>
      <c r="M791" s="342"/>
      <c r="N791" s="128"/>
      <c r="O791" s="231"/>
    </row>
    <row r="792" spans="1:15" ht="18.75" x14ac:dyDescent="0.25">
      <c r="A792" s="128">
        <v>310</v>
      </c>
      <c r="B792" s="91" t="s">
        <v>2007</v>
      </c>
      <c r="C792" s="121" t="s">
        <v>2152</v>
      </c>
      <c r="D792" s="121" t="s">
        <v>2152</v>
      </c>
      <c r="E792" s="82" t="s">
        <v>2007</v>
      </c>
      <c r="F792" s="316">
        <v>3.3</v>
      </c>
      <c r="G792" s="324" t="s">
        <v>1217</v>
      </c>
      <c r="H792" s="254" t="s">
        <v>1961</v>
      </c>
      <c r="I792" s="304">
        <v>38700</v>
      </c>
      <c r="J792" s="316">
        <v>1.1865000000000001</v>
      </c>
      <c r="K792" s="304">
        <v>2.8</v>
      </c>
      <c r="L792" s="304"/>
      <c r="M792" s="205" t="s">
        <v>1951</v>
      </c>
      <c r="N792" s="123" t="s">
        <v>554</v>
      </c>
      <c r="O792" s="231"/>
    </row>
    <row r="793" spans="1:15" ht="19.5" x14ac:dyDescent="0.25">
      <c r="A793" s="128"/>
      <c r="B793" s="431" t="s">
        <v>555</v>
      </c>
      <c r="C793" s="431"/>
      <c r="D793" s="431"/>
      <c r="E793" s="431"/>
      <c r="F793" s="245">
        <f>F792</f>
        <v>3.3</v>
      </c>
      <c r="G793" s="128"/>
      <c r="H793" s="128"/>
      <c r="I793" s="128"/>
      <c r="J793" s="245">
        <f>J792</f>
        <v>1.1865000000000001</v>
      </c>
      <c r="K793" s="128"/>
      <c r="L793" s="128"/>
      <c r="M793" s="128"/>
      <c r="N793" s="128"/>
      <c r="O793" s="231"/>
    </row>
    <row r="794" spans="1:15" ht="37.5" x14ac:dyDescent="0.25">
      <c r="A794" s="128">
        <v>311</v>
      </c>
      <c r="B794" s="91" t="s">
        <v>2053</v>
      </c>
      <c r="C794" s="121" t="s">
        <v>1519</v>
      </c>
      <c r="D794" s="121" t="s">
        <v>626</v>
      </c>
      <c r="E794" s="82" t="s">
        <v>2053</v>
      </c>
      <c r="F794" s="316">
        <v>1.202</v>
      </c>
      <c r="G794" s="324" t="s">
        <v>1217</v>
      </c>
      <c r="H794" s="254" t="s">
        <v>1961</v>
      </c>
      <c r="I794" s="304">
        <v>6759</v>
      </c>
      <c r="J794" s="316">
        <v>0.44700000000000001</v>
      </c>
      <c r="K794" s="304">
        <v>2.7</v>
      </c>
      <c r="L794" s="304"/>
      <c r="M794" s="205" t="s">
        <v>218</v>
      </c>
      <c r="N794" s="334" t="s">
        <v>554</v>
      </c>
      <c r="O794" s="231"/>
    </row>
    <row r="795" spans="1:15" ht="19.5" x14ac:dyDescent="0.25">
      <c r="A795" s="128"/>
      <c r="B795" s="431" t="s">
        <v>555</v>
      </c>
      <c r="C795" s="431"/>
      <c r="D795" s="431"/>
      <c r="E795" s="431"/>
      <c r="F795" s="245">
        <f>F794</f>
        <v>1.202</v>
      </c>
      <c r="G795" s="128"/>
      <c r="H795" s="128"/>
      <c r="I795" s="128"/>
      <c r="J795" s="245">
        <f>J794</f>
        <v>0.44700000000000001</v>
      </c>
      <c r="K795" s="128"/>
      <c r="L795" s="128"/>
      <c r="M795" s="128"/>
      <c r="N795" s="128"/>
      <c r="O795" s="231"/>
    </row>
    <row r="796" spans="1:15" ht="18.75" x14ac:dyDescent="0.25">
      <c r="A796" s="128">
        <v>312</v>
      </c>
      <c r="B796" s="91" t="s">
        <v>2019</v>
      </c>
      <c r="C796" s="121" t="s">
        <v>2151</v>
      </c>
      <c r="D796" s="121" t="s">
        <v>2172</v>
      </c>
      <c r="E796" s="82" t="s">
        <v>2019</v>
      </c>
      <c r="F796" s="316">
        <v>80.836780000000005</v>
      </c>
      <c r="G796" s="324" t="s">
        <v>1217</v>
      </c>
      <c r="H796" s="101" t="s">
        <v>37</v>
      </c>
      <c r="I796" s="304">
        <v>6083</v>
      </c>
      <c r="J796" s="316">
        <v>29.39</v>
      </c>
      <c r="K796" s="304">
        <v>2.8</v>
      </c>
      <c r="L796" s="304"/>
      <c r="M796" s="205" t="s">
        <v>1153</v>
      </c>
      <c r="N796" s="101" t="s">
        <v>554</v>
      </c>
      <c r="O796" s="231"/>
    </row>
    <row r="797" spans="1:15" ht="19.5" x14ac:dyDescent="0.25">
      <c r="A797" s="128"/>
      <c r="B797" s="431" t="s">
        <v>555</v>
      </c>
      <c r="C797" s="431"/>
      <c r="D797" s="431"/>
      <c r="E797" s="431"/>
      <c r="F797" s="245">
        <f>F796</f>
        <v>80.836780000000005</v>
      </c>
      <c r="G797" s="128"/>
      <c r="H797" s="128"/>
      <c r="I797" s="128"/>
      <c r="J797" s="245">
        <f>J796</f>
        <v>29.39</v>
      </c>
      <c r="K797" s="128"/>
      <c r="L797" s="128"/>
      <c r="M797" s="128"/>
      <c r="N797" s="128"/>
      <c r="O797" s="231"/>
    </row>
    <row r="798" spans="1:15" ht="37.5" x14ac:dyDescent="0.25">
      <c r="A798" s="128">
        <v>313</v>
      </c>
      <c r="B798" s="312" t="s">
        <v>1986</v>
      </c>
      <c r="C798" s="121" t="s">
        <v>2033</v>
      </c>
      <c r="D798" s="121" t="s">
        <v>2033</v>
      </c>
      <c r="E798" s="314" t="s">
        <v>1986</v>
      </c>
      <c r="F798" s="316">
        <v>0.5</v>
      </c>
      <c r="G798" s="324" t="s">
        <v>1217</v>
      </c>
      <c r="H798" s="254" t="s">
        <v>1961</v>
      </c>
      <c r="I798" s="304">
        <v>4000</v>
      </c>
      <c r="J798" s="316">
        <v>0.2</v>
      </c>
      <c r="K798" s="304">
        <v>2.5</v>
      </c>
      <c r="L798" s="304"/>
      <c r="M798" s="205" t="s">
        <v>1299</v>
      </c>
      <c r="N798" s="123" t="s">
        <v>554</v>
      </c>
      <c r="O798" s="168"/>
    </row>
    <row r="799" spans="1:15" ht="19.5" x14ac:dyDescent="0.25">
      <c r="A799" s="128"/>
      <c r="B799" s="431" t="s">
        <v>555</v>
      </c>
      <c r="C799" s="431"/>
      <c r="D799" s="431"/>
      <c r="E799" s="431"/>
      <c r="F799" s="245">
        <f>F798</f>
        <v>0.5</v>
      </c>
      <c r="G799" s="245"/>
      <c r="H799" s="245"/>
      <c r="I799" s="245"/>
      <c r="J799" s="245">
        <f>J798</f>
        <v>0.2</v>
      </c>
      <c r="K799" s="128"/>
      <c r="L799" s="128"/>
      <c r="M799" s="128"/>
      <c r="N799" s="128"/>
      <c r="O799" s="231"/>
    </row>
    <row r="800" spans="1:15" ht="18.75" x14ac:dyDescent="0.25">
      <c r="A800" s="128">
        <v>314</v>
      </c>
      <c r="B800" s="91" t="s">
        <v>1399</v>
      </c>
      <c r="C800" s="121" t="s">
        <v>2093</v>
      </c>
      <c r="D800" s="121" t="s">
        <v>2093</v>
      </c>
      <c r="E800" s="82" t="s">
        <v>1399</v>
      </c>
      <c r="F800" s="316">
        <v>5.62</v>
      </c>
      <c r="G800" s="324" t="s">
        <v>1217</v>
      </c>
      <c r="H800" s="254" t="s">
        <v>1961</v>
      </c>
      <c r="I800" s="304">
        <v>8213</v>
      </c>
      <c r="J800" s="316">
        <v>0.42699999999999999</v>
      </c>
      <c r="K800" s="304">
        <v>13.6</v>
      </c>
      <c r="L800" s="304"/>
      <c r="M800" s="123" t="s">
        <v>1299</v>
      </c>
      <c r="N800" s="123" t="s">
        <v>554</v>
      </c>
      <c r="O800" s="168"/>
    </row>
    <row r="801" spans="1:15" ht="19.5" x14ac:dyDescent="0.25">
      <c r="A801" s="128"/>
      <c r="B801" s="431" t="s">
        <v>555</v>
      </c>
      <c r="C801" s="431"/>
      <c r="D801" s="431"/>
      <c r="E801" s="431"/>
      <c r="F801" s="245">
        <f>F800</f>
        <v>5.62</v>
      </c>
      <c r="G801" s="128"/>
      <c r="H801" s="128"/>
      <c r="I801" s="128"/>
      <c r="J801" s="245">
        <f>J800</f>
        <v>0.42699999999999999</v>
      </c>
      <c r="K801" s="128"/>
      <c r="L801" s="128"/>
      <c r="M801" s="128"/>
      <c r="N801" s="128"/>
      <c r="O801" s="231"/>
    </row>
    <row r="802" spans="1:15" ht="18.75" x14ac:dyDescent="0.25">
      <c r="A802" s="128">
        <v>315</v>
      </c>
      <c r="B802" s="121" t="s">
        <v>1987</v>
      </c>
      <c r="C802" s="121" t="s">
        <v>626</v>
      </c>
      <c r="D802" s="121" t="s">
        <v>626</v>
      </c>
      <c r="E802" s="82" t="s">
        <v>1987</v>
      </c>
      <c r="F802" s="316">
        <v>4.1680000000000001</v>
      </c>
      <c r="G802" s="324" t="s">
        <v>1217</v>
      </c>
      <c r="H802" s="254" t="s">
        <v>1961</v>
      </c>
      <c r="I802" s="304">
        <v>31583</v>
      </c>
      <c r="J802" s="316">
        <v>1.1100000000000001</v>
      </c>
      <c r="K802" s="304">
        <v>3.8</v>
      </c>
      <c r="L802" s="304"/>
      <c r="M802" s="205" t="s">
        <v>1834</v>
      </c>
      <c r="N802" s="123" t="s">
        <v>554</v>
      </c>
      <c r="O802" s="168"/>
    </row>
    <row r="803" spans="1:15" ht="19.5" x14ac:dyDescent="0.25">
      <c r="A803" s="128"/>
      <c r="B803" s="431" t="s">
        <v>555</v>
      </c>
      <c r="C803" s="431"/>
      <c r="D803" s="431"/>
      <c r="E803" s="431"/>
      <c r="F803" s="245">
        <f>F802</f>
        <v>4.1680000000000001</v>
      </c>
      <c r="G803" s="128"/>
      <c r="H803" s="128"/>
      <c r="I803" s="128"/>
      <c r="J803" s="245">
        <f>J802</f>
        <v>1.1100000000000001</v>
      </c>
      <c r="K803" s="128"/>
      <c r="L803" s="128"/>
      <c r="M803" s="128"/>
      <c r="N803" s="128"/>
      <c r="O803" s="231"/>
    </row>
    <row r="804" spans="1:15" ht="20.25" x14ac:dyDescent="0.25">
      <c r="A804" s="159"/>
      <c r="B804" s="196" t="s">
        <v>2239</v>
      </c>
      <c r="C804" s="509"/>
      <c r="D804" s="510"/>
      <c r="E804" s="159"/>
      <c r="F804" s="306">
        <f>F695+F698+F700+F702+F704+F706+F708+F711+F714+F717+F722+F727+F729+F731+F733+F735+F737+F739+F741+F743+F745+F747+F758+F769+F773+F775+F777+F779+F781+F783+F785+F787+F789+F791+F793+F795+F797+F799+F801+F803</f>
        <v>5166.5667989999993</v>
      </c>
      <c r="G804" s="306"/>
      <c r="H804" s="306"/>
      <c r="I804" s="306"/>
      <c r="J804" s="306">
        <f>J695+J698+J700+J702+J704+J706+J708+J711+J714+J717+J722+J727+J729+J731+J733+J735+J737+J739+J741+J743+J745+J747+J758+J769+J773+J775+J777+J779+J781+J783+J785+J787+J789+J791+J793+J795+J797+J799+J801+J803</f>
        <v>638.955511</v>
      </c>
      <c r="K804" s="306"/>
      <c r="L804" s="159"/>
      <c r="M804" s="159"/>
      <c r="N804" s="159"/>
      <c r="O804" s="224"/>
    </row>
    <row r="805" spans="1:15" s="318" customFormat="1" ht="32.25" customHeight="1" x14ac:dyDescent="0.25">
      <c r="A805" s="319"/>
      <c r="B805" s="560" t="s">
        <v>1422</v>
      </c>
      <c r="C805" s="561"/>
      <c r="D805" s="561"/>
      <c r="E805" s="319"/>
      <c r="F805" s="322">
        <f>F47+F114+F209+F313+F384+F460+F532+F614+F692+F804</f>
        <v>143393.34498057998</v>
      </c>
      <c r="G805" s="319"/>
      <c r="H805" s="320"/>
      <c r="I805" s="320"/>
      <c r="J805" s="322">
        <f>J47+J114+J209+J313+J384+J460+J532+J614+J692+J804</f>
        <v>10339.028934549999</v>
      </c>
      <c r="K805" s="319"/>
      <c r="L805" s="319"/>
      <c r="M805" s="321"/>
      <c r="N805" s="321"/>
    </row>
    <row r="806" spans="1:15" ht="32.25" customHeight="1" x14ac:dyDescent="0.25"/>
    <row r="807" spans="1:15" ht="32.25" customHeight="1" x14ac:dyDescent="0.25"/>
    <row r="808" spans="1:15" ht="32.25" customHeight="1" x14ac:dyDescent="0.25"/>
    <row r="809" spans="1:15" ht="32.25" customHeight="1" x14ac:dyDescent="0.25"/>
    <row r="810" spans="1:15" ht="32.25" customHeight="1" x14ac:dyDescent="0.25"/>
    <row r="811" spans="1:15" ht="32.25" customHeight="1" x14ac:dyDescent="0.25"/>
    <row r="812" spans="1:15" ht="32.25" customHeight="1" x14ac:dyDescent="0.25"/>
    <row r="813" spans="1:15" ht="32.25" customHeight="1" x14ac:dyDescent="0.25"/>
    <row r="814" spans="1:15" ht="32.25" customHeight="1" x14ac:dyDescent="0.25"/>
    <row r="815" spans="1:15" ht="32.25" customHeight="1" x14ac:dyDescent="0.25"/>
    <row r="816" spans="1:15" ht="32.25" customHeight="1" x14ac:dyDescent="0.25"/>
    <row r="817" ht="32.25" customHeight="1" x14ac:dyDescent="0.25"/>
    <row r="818" ht="32.25" customHeight="1" x14ac:dyDescent="0.25"/>
    <row r="819" ht="32.25" customHeight="1" x14ac:dyDescent="0.25"/>
    <row r="820" ht="32.25" customHeight="1" x14ac:dyDescent="0.25"/>
    <row r="821" ht="32.25" customHeight="1" x14ac:dyDescent="0.25"/>
    <row r="822" ht="32.25" customHeight="1" x14ac:dyDescent="0.25"/>
    <row r="823" ht="32.25" customHeight="1" x14ac:dyDescent="0.25"/>
    <row r="824" ht="32.25" customHeight="1" x14ac:dyDescent="0.25"/>
    <row r="825" ht="32.25" customHeight="1" x14ac:dyDescent="0.25"/>
    <row r="826" ht="32.25" customHeight="1" x14ac:dyDescent="0.25"/>
  </sheetData>
  <autoFilter ref="A2:N804" xr:uid="{00000000-0009-0000-0000-00000C000000}">
    <filterColumn colId="7" showButton="0"/>
  </autoFilter>
  <mergeCells count="886">
    <mergeCell ref="B783:E783"/>
    <mergeCell ref="B787:E787"/>
    <mergeCell ref="B791:E791"/>
    <mergeCell ref="B793:E793"/>
    <mergeCell ref="B795:E795"/>
    <mergeCell ref="B797:E797"/>
    <mergeCell ref="B525:E525"/>
    <mergeCell ref="B527:E527"/>
    <mergeCell ref="B529:E529"/>
    <mergeCell ref="B531:E531"/>
    <mergeCell ref="B597:E597"/>
    <mergeCell ref="B599:E599"/>
    <mergeCell ref="B601:E601"/>
    <mergeCell ref="B603:E603"/>
    <mergeCell ref="B605:E605"/>
    <mergeCell ref="B607:E607"/>
    <mergeCell ref="B609:E609"/>
    <mergeCell ref="B611:E611"/>
    <mergeCell ref="B613:E613"/>
    <mergeCell ref="B632:E632"/>
    <mergeCell ref="B634:E634"/>
    <mergeCell ref="B636:E636"/>
    <mergeCell ref="B638:E638"/>
    <mergeCell ref="B640:E640"/>
    <mergeCell ref="A521:A522"/>
    <mergeCell ref="B521:B522"/>
    <mergeCell ref="C521:C522"/>
    <mergeCell ref="E521:E522"/>
    <mergeCell ref="G521:G522"/>
    <mergeCell ref="L521:L522"/>
    <mergeCell ref="M521:M522"/>
    <mergeCell ref="N521:N522"/>
    <mergeCell ref="B523:E523"/>
    <mergeCell ref="B511:E511"/>
    <mergeCell ref="B513:E513"/>
    <mergeCell ref="B515:E515"/>
    <mergeCell ref="M506:M507"/>
    <mergeCell ref="N506:N507"/>
    <mergeCell ref="B508:E508"/>
    <mergeCell ref="B520:E520"/>
    <mergeCell ref="A509:A510"/>
    <mergeCell ref="B509:B510"/>
    <mergeCell ref="C509:C510"/>
    <mergeCell ref="E509:E510"/>
    <mergeCell ref="G509:G510"/>
    <mergeCell ref="L509:L510"/>
    <mergeCell ref="M509:M510"/>
    <mergeCell ref="N509:N510"/>
    <mergeCell ref="A516:A517"/>
    <mergeCell ref="B516:B517"/>
    <mergeCell ref="C516:C517"/>
    <mergeCell ref="E516:E517"/>
    <mergeCell ref="G516:G517"/>
    <mergeCell ref="L516:L517"/>
    <mergeCell ref="M516:M517"/>
    <mergeCell ref="N516:N517"/>
    <mergeCell ref="B518:E518"/>
    <mergeCell ref="B501:E501"/>
    <mergeCell ref="B503:E503"/>
    <mergeCell ref="B505:E505"/>
    <mergeCell ref="A506:A507"/>
    <mergeCell ref="B506:B507"/>
    <mergeCell ref="C506:C507"/>
    <mergeCell ref="E506:E507"/>
    <mergeCell ref="G506:G507"/>
    <mergeCell ref="L506:L507"/>
    <mergeCell ref="G489:G491"/>
    <mergeCell ref="L489:L491"/>
    <mergeCell ref="M489:M491"/>
    <mergeCell ref="N489:N491"/>
    <mergeCell ref="B492:E492"/>
    <mergeCell ref="A493:A494"/>
    <mergeCell ref="B493:B494"/>
    <mergeCell ref="C493:C494"/>
    <mergeCell ref="E493:E494"/>
    <mergeCell ref="G493:G494"/>
    <mergeCell ref="L493:L494"/>
    <mergeCell ref="M493:M494"/>
    <mergeCell ref="N493:N494"/>
    <mergeCell ref="L441:L442"/>
    <mergeCell ref="B443:E443"/>
    <mergeCell ref="B398:C398"/>
    <mergeCell ref="B400:C400"/>
    <mergeCell ref="B460:D460"/>
    <mergeCell ref="B433:E433"/>
    <mergeCell ref="B437:E437"/>
    <mergeCell ref="B441:B442"/>
    <mergeCell ref="C441:C442"/>
    <mergeCell ref="D441:D442"/>
    <mergeCell ref="E441:E442"/>
    <mergeCell ref="B440:E440"/>
    <mergeCell ref="G441:G442"/>
    <mergeCell ref="K441:K442"/>
    <mergeCell ref="D417:D418"/>
    <mergeCell ref="L434:L436"/>
    <mergeCell ref="B445:E445"/>
    <mergeCell ref="B447:E447"/>
    <mergeCell ref="B449:E449"/>
    <mergeCell ref="B451:E451"/>
    <mergeCell ref="B453:E453"/>
    <mergeCell ref="B455:E455"/>
    <mergeCell ref="B457:E457"/>
    <mergeCell ref="B459:E459"/>
    <mergeCell ref="B49:C49"/>
    <mergeCell ref="B33:C33"/>
    <mergeCell ref="L64:L67"/>
    <mergeCell ref="G14:G16"/>
    <mergeCell ref="B402:C402"/>
    <mergeCell ref="B427:E427"/>
    <mergeCell ref="B429:E429"/>
    <mergeCell ref="B431:E431"/>
    <mergeCell ref="B68:C68"/>
    <mergeCell ref="B44:C44"/>
    <mergeCell ref="B46:C46"/>
    <mergeCell ref="G89:G90"/>
    <mergeCell ref="L89:L90"/>
    <mergeCell ref="B91:C91"/>
    <mergeCell ref="G104:G108"/>
    <mergeCell ref="L104:L108"/>
    <mergeCell ref="B118:C118"/>
    <mergeCell ref="B128:C128"/>
    <mergeCell ref="B138:C138"/>
    <mergeCell ref="B162:C162"/>
    <mergeCell ref="B164:C164"/>
    <mergeCell ref="B178:C178"/>
    <mergeCell ref="B180:C180"/>
    <mergeCell ref="B182:C182"/>
    <mergeCell ref="M34:M35"/>
    <mergeCell ref="B36:C36"/>
    <mergeCell ref="B29:C29"/>
    <mergeCell ref="B31:C31"/>
    <mergeCell ref="N34:N35"/>
    <mergeCell ref="N14:N16"/>
    <mergeCell ref="M18:M20"/>
    <mergeCell ref="N18:N20"/>
    <mergeCell ref="M14:M16"/>
    <mergeCell ref="C14:C16"/>
    <mergeCell ref="E14:E16"/>
    <mergeCell ref="L18:L20"/>
    <mergeCell ref="L14:L16"/>
    <mergeCell ref="B23:C23"/>
    <mergeCell ref="B25:C25"/>
    <mergeCell ref="B26:B28"/>
    <mergeCell ref="A14:A16"/>
    <mergeCell ref="B14:B16"/>
    <mergeCell ref="O3:O4"/>
    <mergeCell ref="B5:C5"/>
    <mergeCell ref="M6:M12"/>
    <mergeCell ref="N6:N12"/>
    <mergeCell ref="B13:C13"/>
    <mergeCell ref="C26:C28"/>
    <mergeCell ref="E26:E28"/>
    <mergeCell ref="G26:G28"/>
    <mergeCell ref="B21:C21"/>
    <mergeCell ref="B17:C17"/>
    <mergeCell ref="A18:A20"/>
    <mergeCell ref="B18:B20"/>
    <mergeCell ref="C18:C20"/>
    <mergeCell ref="E18:E20"/>
    <mergeCell ref="G18:G20"/>
    <mergeCell ref="A6:A12"/>
    <mergeCell ref="B6:B12"/>
    <mergeCell ref="C6:C12"/>
    <mergeCell ref="E6:E12"/>
    <mergeCell ref="G6:G12"/>
    <mergeCell ref="L6:L12"/>
    <mergeCell ref="A26:A28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M2:M3"/>
    <mergeCell ref="N2:N3"/>
    <mergeCell ref="N69:N72"/>
    <mergeCell ref="B73:C73"/>
    <mergeCell ref="A34:A35"/>
    <mergeCell ref="B34:B35"/>
    <mergeCell ref="C34:C35"/>
    <mergeCell ref="M26:M28"/>
    <mergeCell ref="N26:N28"/>
    <mergeCell ref="B63:C63"/>
    <mergeCell ref="A64:A67"/>
    <mergeCell ref="B64:B67"/>
    <mergeCell ref="C64:C67"/>
    <mergeCell ref="E64:E67"/>
    <mergeCell ref="G64:G67"/>
    <mergeCell ref="B51:C51"/>
    <mergeCell ref="B53:C53"/>
    <mergeCell ref="B55:C55"/>
    <mergeCell ref="B57:C57"/>
    <mergeCell ref="B59:C59"/>
    <mergeCell ref="B61:C61"/>
    <mergeCell ref="M64:M67"/>
    <mergeCell ref="N64:N67"/>
    <mergeCell ref="B38:C38"/>
    <mergeCell ref="B40:C40"/>
    <mergeCell ref="B42:C42"/>
    <mergeCell ref="A86:A87"/>
    <mergeCell ref="B86:B87"/>
    <mergeCell ref="C86:C87"/>
    <mergeCell ref="E86:E87"/>
    <mergeCell ref="G86:G87"/>
    <mergeCell ref="L86:L87"/>
    <mergeCell ref="M86:M87"/>
    <mergeCell ref="A69:A72"/>
    <mergeCell ref="B69:B72"/>
    <mergeCell ref="C69:C72"/>
    <mergeCell ref="E69:E72"/>
    <mergeCell ref="G69:G72"/>
    <mergeCell ref="L69:L72"/>
    <mergeCell ref="M69:M72"/>
    <mergeCell ref="A77:A78"/>
    <mergeCell ref="A74:A75"/>
    <mergeCell ref="N86:N87"/>
    <mergeCell ref="B88:C88"/>
    <mergeCell ref="B79:C79"/>
    <mergeCell ref="B81:C81"/>
    <mergeCell ref="B83:C83"/>
    <mergeCell ref="B85:C85"/>
    <mergeCell ref="M89:M90"/>
    <mergeCell ref="N89:N90"/>
    <mergeCell ref="N74:N75"/>
    <mergeCell ref="B76:C76"/>
    <mergeCell ref="B77:B78"/>
    <mergeCell ref="C77:C78"/>
    <mergeCell ref="E77:E78"/>
    <mergeCell ref="G77:G78"/>
    <mergeCell ref="L77:L78"/>
    <mergeCell ref="M77:M78"/>
    <mergeCell ref="N77:N78"/>
    <mergeCell ref="B74:B75"/>
    <mergeCell ref="C74:C75"/>
    <mergeCell ref="E74:E75"/>
    <mergeCell ref="G74:G75"/>
    <mergeCell ref="L74:L75"/>
    <mergeCell ref="M74:M75"/>
    <mergeCell ref="N92:N93"/>
    <mergeCell ref="B94:C94"/>
    <mergeCell ref="B96:C96"/>
    <mergeCell ref="B98:C98"/>
    <mergeCell ref="A99:A102"/>
    <mergeCell ref="B99:B102"/>
    <mergeCell ref="C99:C102"/>
    <mergeCell ref="E99:E102"/>
    <mergeCell ref="G99:G102"/>
    <mergeCell ref="L99:L102"/>
    <mergeCell ref="M99:M102"/>
    <mergeCell ref="N99:N102"/>
    <mergeCell ref="A92:A93"/>
    <mergeCell ref="B92:B93"/>
    <mergeCell ref="C92:C93"/>
    <mergeCell ref="E92:E93"/>
    <mergeCell ref="G92:G93"/>
    <mergeCell ref="L92:L93"/>
    <mergeCell ref="M92:M93"/>
    <mergeCell ref="A89:A90"/>
    <mergeCell ref="B89:B90"/>
    <mergeCell ref="C89:C90"/>
    <mergeCell ref="B103:C103"/>
    <mergeCell ref="A104:A108"/>
    <mergeCell ref="B104:B108"/>
    <mergeCell ref="C104:C108"/>
    <mergeCell ref="E104:E108"/>
    <mergeCell ref="E89:E90"/>
    <mergeCell ref="M104:M108"/>
    <mergeCell ref="B113:C113"/>
    <mergeCell ref="A115:A117"/>
    <mergeCell ref="B115:B117"/>
    <mergeCell ref="C115:C117"/>
    <mergeCell ref="E115:E117"/>
    <mergeCell ref="N104:N108"/>
    <mergeCell ref="B109:C109"/>
    <mergeCell ref="A110:A112"/>
    <mergeCell ref="B110:B112"/>
    <mergeCell ref="C110:C112"/>
    <mergeCell ref="G110:G112"/>
    <mergeCell ref="L110:L112"/>
    <mergeCell ref="M110:M112"/>
    <mergeCell ref="N110:N112"/>
    <mergeCell ref="G115:G117"/>
    <mergeCell ref="L115:L117"/>
    <mergeCell ref="M115:M117"/>
    <mergeCell ref="N115:N117"/>
    <mergeCell ref="B114:D114"/>
    <mergeCell ref="A119:A120"/>
    <mergeCell ref="B119:B120"/>
    <mergeCell ref="C119:C120"/>
    <mergeCell ref="E119:E120"/>
    <mergeCell ref="G119:G120"/>
    <mergeCell ref="L119:L120"/>
    <mergeCell ref="M119:M120"/>
    <mergeCell ref="N119:N120"/>
    <mergeCell ref="B121:C121"/>
    <mergeCell ref="A122:A125"/>
    <mergeCell ref="B122:B125"/>
    <mergeCell ref="C122:C125"/>
    <mergeCell ref="E122:E125"/>
    <mergeCell ref="G122:G125"/>
    <mergeCell ref="L122:L125"/>
    <mergeCell ref="M122:M125"/>
    <mergeCell ref="N122:N125"/>
    <mergeCell ref="B126:C126"/>
    <mergeCell ref="A129:A132"/>
    <mergeCell ref="B129:B132"/>
    <mergeCell ref="C129:C132"/>
    <mergeCell ref="E129:E132"/>
    <mergeCell ref="G129:G132"/>
    <mergeCell ref="L129:L132"/>
    <mergeCell ref="M129:M132"/>
    <mergeCell ref="N129:N132"/>
    <mergeCell ref="B133:C133"/>
    <mergeCell ref="A134:A137"/>
    <mergeCell ref="B134:B137"/>
    <mergeCell ref="C134:C137"/>
    <mergeCell ref="E134:E137"/>
    <mergeCell ref="G134:G137"/>
    <mergeCell ref="H134:H137"/>
    <mergeCell ref="L134:L137"/>
    <mergeCell ref="M134:M137"/>
    <mergeCell ref="N134:N137"/>
    <mergeCell ref="A139:A147"/>
    <mergeCell ref="B139:B147"/>
    <mergeCell ref="C139:C147"/>
    <mergeCell ref="E139:E147"/>
    <mergeCell ref="G139:G147"/>
    <mergeCell ref="L139:L147"/>
    <mergeCell ref="M139:M147"/>
    <mergeCell ref="N139:N147"/>
    <mergeCell ref="B148:C148"/>
    <mergeCell ref="A149:A151"/>
    <mergeCell ref="B149:B151"/>
    <mergeCell ref="C149:C151"/>
    <mergeCell ref="E149:E151"/>
    <mergeCell ref="G149:G151"/>
    <mergeCell ref="L149:L151"/>
    <mergeCell ref="M149:M151"/>
    <mergeCell ref="N149:N151"/>
    <mergeCell ref="M159:M161"/>
    <mergeCell ref="N159:N161"/>
    <mergeCell ref="D160:D161"/>
    <mergeCell ref="F160:F161"/>
    <mergeCell ref="K160:K161"/>
    <mergeCell ref="B152:C152"/>
    <mergeCell ref="B154:C154"/>
    <mergeCell ref="B156:C156"/>
    <mergeCell ref="B158:C158"/>
    <mergeCell ref="B159:B161"/>
    <mergeCell ref="C159:C161"/>
    <mergeCell ref="E159:E161"/>
    <mergeCell ref="G159:G161"/>
    <mergeCell ref="L159:L161"/>
    <mergeCell ref="A159:A161"/>
    <mergeCell ref="A174:A177"/>
    <mergeCell ref="B174:B177"/>
    <mergeCell ref="C174:C177"/>
    <mergeCell ref="E174:E177"/>
    <mergeCell ref="G174:G177"/>
    <mergeCell ref="G165:G166"/>
    <mergeCell ref="L165:L166"/>
    <mergeCell ref="M165:M166"/>
    <mergeCell ref="N165:N166"/>
    <mergeCell ref="B167:C167"/>
    <mergeCell ref="A168:A170"/>
    <mergeCell ref="B168:B170"/>
    <mergeCell ref="C168:C170"/>
    <mergeCell ref="E168:E170"/>
    <mergeCell ref="G168:G170"/>
    <mergeCell ref="L174:L177"/>
    <mergeCell ref="M174:M177"/>
    <mergeCell ref="N174:N177"/>
    <mergeCell ref="L168:L170"/>
    <mergeCell ref="M168:M170"/>
    <mergeCell ref="N168:N170"/>
    <mergeCell ref="B171:C171"/>
    <mergeCell ref="B173:C173"/>
    <mergeCell ref="A165:A166"/>
    <mergeCell ref="B165:B166"/>
    <mergeCell ref="C165:C166"/>
    <mergeCell ref="E165:E166"/>
    <mergeCell ref="G187:G188"/>
    <mergeCell ref="L187:L188"/>
    <mergeCell ref="M187:M188"/>
    <mergeCell ref="N187:N188"/>
    <mergeCell ref="B189:C189"/>
    <mergeCell ref="B191:C191"/>
    <mergeCell ref="B184:C184"/>
    <mergeCell ref="B186:C186"/>
    <mergeCell ref="A187:A188"/>
    <mergeCell ref="B187:B188"/>
    <mergeCell ref="C187:C188"/>
    <mergeCell ref="E187:E188"/>
    <mergeCell ref="M192:M193"/>
    <mergeCell ref="N192:N193"/>
    <mergeCell ref="B194:C194"/>
    <mergeCell ref="B196:C196"/>
    <mergeCell ref="B198:C198"/>
    <mergeCell ref="B200:C200"/>
    <mergeCell ref="A192:A193"/>
    <mergeCell ref="B192:B193"/>
    <mergeCell ref="C192:C193"/>
    <mergeCell ref="E192:E193"/>
    <mergeCell ref="G192:G193"/>
    <mergeCell ref="L192:L193"/>
    <mergeCell ref="G205:G207"/>
    <mergeCell ref="L205:L207"/>
    <mergeCell ref="M205:M207"/>
    <mergeCell ref="N205:N207"/>
    <mergeCell ref="B208:C208"/>
    <mergeCell ref="B202:C202"/>
    <mergeCell ref="B204:C204"/>
    <mergeCell ref="A205:A207"/>
    <mergeCell ref="B205:B207"/>
    <mergeCell ref="C205:C207"/>
    <mergeCell ref="E205:E207"/>
    <mergeCell ref="B235:C235"/>
    <mergeCell ref="B237:C237"/>
    <mergeCell ref="B239:C239"/>
    <mergeCell ref="B241:C241"/>
    <mergeCell ref="B243:C243"/>
    <mergeCell ref="B245:C245"/>
    <mergeCell ref="B209:D209"/>
    <mergeCell ref="B223:C223"/>
    <mergeCell ref="B225:C225"/>
    <mergeCell ref="B227:C227"/>
    <mergeCell ref="B229:C229"/>
    <mergeCell ref="B231:C231"/>
    <mergeCell ref="B233:C233"/>
    <mergeCell ref="B211:C211"/>
    <mergeCell ref="B213:C213"/>
    <mergeCell ref="B215:C215"/>
    <mergeCell ref="B217:C217"/>
    <mergeCell ref="B219:C219"/>
    <mergeCell ref="B221:C221"/>
    <mergeCell ref="B259:C259"/>
    <mergeCell ref="B261:C261"/>
    <mergeCell ref="B263:C263"/>
    <mergeCell ref="B265:C265"/>
    <mergeCell ref="B267:C267"/>
    <mergeCell ref="B269:C269"/>
    <mergeCell ref="B247:C247"/>
    <mergeCell ref="B249:C249"/>
    <mergeCell ref="B251:C251"/>
    <mergeCell ref="B253:C253"/>
    <mergeCell ref="B255:C255"/>
    <mergeCell ref="B257:C257"/>
    <mergeCell ref="B283:C283"/>
    <mergeCell ref="B285:C285"/>
    <mergeCell ref="B287:C287"/>
    <mergeCell ref="B289:C289"/>
    <mergeCell ref="B291:C291"/>
    <mergeCell ref="B293:C293"/>
    <mergeCell ref="B271:C271"/>
    <mergeCell ref="B273:C273"/>
    <mergeCell ref="B275:C275"/>
    <mergeCell ref="B277:C277"/>
    <mergeCell ref="B279:C279"/>
    <mergeCell ref="B281:C281"/>
    <mergeCell ref="B319:C319"/>
    <mergeCell ref="B321:C321"/>
    <mergeCell ref="B323:C323"/>
    <mergeCell ref="B325:C325"/>
    <mergeCell ref="B295:C295"/>
    <mergeCell ref="B297:C297"/>
    <mergeCell ref="B299:C299"/>
    <mergeCell ref="B301:C301"/>
    <mergeCell ref="B303:C303"/>
    <mergeCell ref="B305:C305"/>
    <mergeCell ref="B313:D313"/>
    <mergeCell ref="M306:M311"/>
    <mergeCell ref="N306:N311"/>
    <mergeCell ref="B312:C312"/>
    <mergeCell ref="B315:C315"/>
    <mergeCell ref="B317:C317"/>
    <mergeCell ref="A306:A311"/>
    <mergeCell ref="B306:B311"/>
    <mergeCell ref="C306:C311"/>
    <mergeCell ref="E306:E311"/>
    <mergeCell ref="G306:G311"/>
    <mergeCell ref="L306:L311"/>
    <mergeCell ref="B327:C327"/>
    <mergeCell ref="L331:L332"/>
    <mergeCell ref="M331:M332"/>
    <mergeCell ref="N331:N332"/>
    <mergeCell ref="B333:C333"/>
    <mergeCell ref="B335:C335"/>
    <mergeCell ref="B337:C337"/>
    <mergeCell ref="B330:C330"/>
    <mergeCell ref="A331:A332"/>
    <mergeCell ref="B331:B332"/>
    <mergeCell ref="C331:C332"/>
    <mergeCell ref="E331:E332"/>
    <mergeCell ref="G331:G332"/>
    <mergeCell ref="A328:A329"/>
    <mergeCell ref="B328:B329"/>
    <mergeCell ref="C328:C329"/>
    <mergeCell ref="E328:E329"/>
    <mergeCell ref="G328:G329"/>
    <mergeCell ref="K328:K329"/>
    <mergeCell ref="L328:L329"/>
    <mergeCell ref="M328:M329"/>
    <mergeCell ref="N328:N329"/>
    <mergeCell ref="L364:L367"/>
    <mergeCell ref="M364:M367"/>
    <mergeCell ref="N364:N367"/>
    <mergeCell ref="O364:O367"/>
    <mergeCell ref="F366:F367"/>
    <mergeCell ref="K366:K367"/>
    <mergeCell ref="A364:A367"/>
    <mergeCell ref="B364:B367"/>
    <mergeCell ref="C364:C367"/>
    <mergeCell ref="E364:E367"/>
    <mergeCell ref="G364:G367"/>
    <mergeCell ref="E373:E374"/>
    <mergeCell ref="G373:G374"/>
    <mergeCell ref="L373:L374"/>
    <mergeCell ref="M373:M374"/>
    <mergeCell ref="O373:O374"/>
    <mergeCell ref="B368:C368"/>
    <mergeCell ref="B370:C370"/>
    <mergeCell ref="B372:C372"/>
    <mergeCell ref="A373:A374"/>
    <mergeCell ref="B373:B374"/>
    <mergeCell ref="C373:C374"/>
    <mergeCell ref="N373:N374"/>
    <mergeCell ref="B339:C339"/>
    <mergeCell ref="B341:C341"/>
    <mergeCell ref="B343:C343"/>
    <mergeCell ref="B345:C345"/>
    <mergeCell ref="B347:C347"/>
    <mergeCell ref="B349:C349"/>
    <mergeCell ref="B375:C375"/>
    <mergeCell ref="B377:C377"/>
    <mergeCell ref="B379:C379"/>
    <mergeCell ref="B386:C386"/>
    <mergeCell ref="B384:D384"/>
    <mergeCell ref="B388:C388"/>
    <mergeCell ref="B390:C390"/>
    <mergeCell ref="B392:C392"/>
    <mergeCell ref="B394:C394"/>
    <mergeCell ref="B396:C396"/>
    <mergeCell ref="B363:C363"/>
    <mergeCell ref="B351:C351"/>
    <mergeCell ref="B353:C353"/>
    <mergeCell ref="B355:C355"/>
    <mergeCell ref="B357:C357"/>
    <mergeCell ref="B359:C359"/>
    <mergeCell ref="B361:C361"/>
    <mergeCell ref="B381:C381"/>
    <mergeCell ref="B383:C383"/>
    <mergeCell ref="M441:M442"/>
    <mergeCell ref="N441:N442"/>
    <mergeCell ref="N438:N439"/>
    <mergeCell ref="A417:A424"/>
    <mergeCell ref="N417:N424"/>
    <mergeCell ref="M417:M424"/>
    <mergeCell ref="B425:E425"/>
    <mergeCell ref="L417:L424"/>
    <mergeCell ref="B404:C404"/>
    <mergeCell ref="B406:C406"/>
    <mergeCell ref="B408:C408"/>
    <mergeCell ref="B410:C410"/>
    <mergeCell ref="B412:C412"/>
    <mergeCell ref="B414:E414"/>
    <mergeCell ref="B416:E416"/>
    <mergeCell ref="B417:B424"/>
    <mergeCell ref="C417:C424"/>
    <mergeCell ref="E417:E424"/>
    <mergeCell ref="G417:G424"/>
    <mergeCell ref="A434:A436"/>
    <mergeCell ref="B434:B436"/>
    <mergeCell ref="C434:C436"/>
    <mergeCell ref="E434:E436"/>
    <mergeCell ref="G434:G436"/>
    <mergeCell ref="M434:M436"/>
    <mergeCell ref="N434:N436"/>
    <mergeCell ref="A438:A439"/>
    <mergeCell ref="B438:B439"/>
    <mergeCell ref="C438:C439"/>
    <mergeCell ref="D438:D439"/>
    <mergeCell ref="E438:E439"/>
    <mergeCell ref="G438:G439"/>
    <mergeCell ref="K438:K439"/>
    <mergeCell ref="L438:L439"/>
    <mergeCell ref="M438:M439"/>
    <mergeCell ref="B805:D805"/>
    <mergeCell ref="A441:A442"/>
    <mergeCell ref="B462:E462"/>
    <mergeCell ref="B464:E464"/>
    <mergeCell ref="B466:E466"/>
    <mergeCell ref="B468:E468"/>
    <mergeCell ref="B470:E470"/>
    <mergeCell ref="B472:E472"/>
    <mergeCell ref="B474:E474"/>
    <mergeCell ref="C532:D532"/>
    <mergeCell ref="B476:E476"/>
    <mergeCell ref="B478:E478"/>
    <mergeCell ref="B480:E480"/>
    <mergeCell ref="B482:E482"/>
    <mergeCell ref="B484:E484"/>
    <mergeCell ref="B486:E486"/>
    <mergeCell ref="B488:E488"/>
    <mergeCell ref="A489:A491"/>
    <mergeCell ref="B489:B491"/>
    <mergeCell ref="C489:C491"/>
    <mergeCell ref="E489:E491"/>
    <mergeCell ref="B495:E495"/>
    <mergeCell ref="B497:E497"/>
    <mergeCell ref="B499:E499"/>
    <mergeCell ref="A533:A535"/>
    <mergeCell ref="B533:B535"/>
    <mergeCell ref="C533:C535"/>
    <mergeCell ref="E533:E535"/>
    <mergeCell ref="M533:M535"/>
    <mergeCell ref="N533:N535"/>
    <mergeCell ref="O533:O535"/>
    <mergeCell ref="A541:A543"/>
    <mergeCell ref="B541:B543"/>
    <mergeCell ref="C541:C543"/>
    <mergeCell ref="E541:E543"/>
    <mergeCell ref="M541:M543"/>
    <mergeCell ref="N541:N543"/>
    <mergeCell ref="O541:O544"/>
    <mergeCell ref="A545:A546"/>
    <mergeCell ref="B545:B546"/>
    <mergeCell ref="C545:C546"/>
    <mergeCell ref="E545:E546"/>
    <mergeCell ref="M545:M546"/>
    <mergeCell ref="N545:N546"/>
    <mergeCell ref="O545:O546"/>
    <mergeCell ref="A552:A555"/>
    <mergeCell ref="B552:B555"/>
    <mergeCell ref="C552:C555"/>
    <mergeCell ref="E552:E555"/>
    <mergeCell ref="M552:M555"/>
    <mergeCell ref="N552:N555"/>
    <mergeCell ref="O552:O555"/>
    <mergeCell ref="A557:A558"/>
    <mergeCell ref="B557:B558"/>
    <mergeCell ref="C557:C558"/>
    <mergeCell ref="E557:E558"/>
    <mergeCell ref="M557:M561"/>
    <mergeCell ref="N557:N561"/>
    <mergeCell ref="O557:O561"/>
    <mergeCell ref="A560:A561"/>
    <mergeCell ref="B560:B561"/>
    <mergeCell ref="C560:C561"/>
    <mergeCell ref="E560:E561"/>
    <mergeCell ref="A571:A572"/>
    <mergeCell ref="B571:B572"/>
    <mergeCell ref="C571:C572"/>
    <mergeCell ref="E571:E572"/>
    <mergeCell ref="M571:M572"/>
    <mergeCell ref="N571:N572"/>
    <mergeCell ref="O571:O572"/>
    <mergeCell ref="A574:A576"/>
    <mergeCell ref="B574:B576"/>
    <mergeCell ref="C574:C576"/>
    <mergeCell ref="E574:E576"/>
    <mergeCell ref="M574:M576"/>
    <mergeCell ref="N574:N576"/>
    <mergeCell ref="O574:O576"/>
    <mergeCell ref="A580:A586"/>
    <mergeCell ref="B580:B586"/>
    <mergeCell ref="C580:C586"/>
    <mergeCell ref="E580:E586"/>
    <mergeCell ref="H580:H586"/>
    <mergeCell ref="M580:M586"/>
    <mergeCell ref="N580:N586"/>
    <mergeCell ref="O580:O586"/>
    <mergeCell ref="B595:E595"/>
    <mergeCell ref="B587:E587"/>
    <mergeCell ref="B589:E589"/>
    <mergeCell ref="B591:E591"/>
    <mergeCell ref="B593:E593"/>
    <mergeCell ref="B642:E642"/>
    <mergeCell ref="C614:D614"/>
    <mergeCell ref="B616:E616"/>
    <mergeCell ref="B618:E618"/>
    <mergeCell ref="B620:E620"/>
    <mergeCell ref="B622:E622"/>
    <mergeCell ref="B624:E624"/>
    <mergeCell ref="B626:E626"/>
    <mergeCell ref="B628:E628"/>
    <mergeCell ref="B630:E630"/>
    <mergeCell ref="A650:A651"/>
    <mergeCell ref="B650:B651"/>
    <mergeCell ref="E650:E651"/>
    <mergeCell ref="M650:M651"/>
    <mergeCell ref="N650:N651"/>
    <mergeCell ref="B649:E649"/>
    <mergeCell ref="B652:E652"/>
    <mergeCell ref="B654:E654"/>
    <mergeCell ref="M643:M644"/>
    <mergeCell ref="N643:N644"/>
    <mergeCell ref="A646:A648"/>
    <mergeCell ref="B646:B648"/>
    <mergeCell ref="E646:E648"/>
    <mergeCell ref="M646:M648"/>
    <mergeCell ref="N646:N648"/>
    <mergeCell ref="B645:E645"/>
    <mergeCell ref="A643:A644"/>
    <mergeCell ref="B643:B644"/>
    <mergeCell ref="E643:E644"/>
    <mergeCell ref="B661:E661"/>
    <mergeCell ref="B664:E664"/>
    <mergeCell ref="A655:A656"/>
    <mergeCell ref="B655:B656"/>
    <mergeCell ref="E655:E656"/>
    <mergeCell ref="M655:M656"/>
    <mergeCell ref="N655:N656"/>
    <mergeCell ref="O655:O656"/>
    <mergeCell ref="A658:A660"/>
    <mergeCell ref="B658:B660"/>
    <mergeCell ref="E658:E660"/>
    <mergeCell ref="M658:M660"/>
    <mergeCell ref="N658:N660"/>
    <mergeCell ref="O658:O660"/>
    <mergeCell ref="B657:E657"/>
    <mergeCell ref="A662:A663"/>
    <mergeCell ref="B662:B663"/>
    <mergeCell ref="E662:E663"/>
    <mergeCell ref="M662:M663"/>
    <mergeCell ref="N662:N663"/>
    <mergeCell ref="A665:A669"/>
    <mergeCell ref="B665:B669"/>
    <mergeCell ref="E665:E669"/>
    <mergeCell ref="M665:M669"/>
    <mergeCell ref="N665:N669"/>
    <mergeCell ref="B682:B683"/>
    <mergeCell ref="E682:E683"/>
    <mergeCell ref="A685:A686"/>
    <mergeCell ref="B685:B686"/>
    <mergeCell ref="E685:E686"/>
    <mergeCell ref="B681:E681"/>
    <mergeCell ref="B684:E684"/>
    <mergeCell ref="O665:O669"/>
    <mergeCell ref="B670:E670"/>
    <mergeCell ref="B672:E672"/>
    <mergeCell ref="B674:E674"/>
    <mergeCell ref="B676:E676"/>
    <mergeCell ref="B678:E678"/>
    <mergeCell ref="N685:N686"/>
    <mergeCell ref="C692:D692"/>
    <mergeCell ref="A693:A694"/>
    <mergeCell ref="B693:B694"/>
    <mergeCell ref="C693:C694"/>
    <mergeCell ref="D693:D694"/>
    <mergeCell ref="E693:E694"/>
    <mergeCell ref="L693:L694"/>
    <mergeCell ref="M693:M694"/>
    <mergeCell ref="N693:N694"/>
    <mergeCell ref="B687:E687"/>
    <mergeCell ref="B689:E689"/>
    <mergeCell ref="B691:E691"/>
    <mergeCell ref="F693:F694"/>
    <mergeCell ref="O693:O694"/>
    <mergeCell ref="A679:A680"/>
    <mergeCell ref="M685:M686"/>
    <mergeCell ref="A682:A683"/>
    <mergeCell ref="B695:E695"/>
    <mergeCell ref="F696:F697"/>
    <mergeCell ref="N709:N710"/>
    <mergeCell ref="O709:O710"/>
    <mergeCell ref="A712:A713"/>
    <mergeCell ref="B712:B713"/>
    <mergeCell ref="E712:E713"/>
    <mergeCell ref="M712:M713"/>
    <mergeCell ref="N712:N713"/>
    <mergeCell ref="O712:O713"/>
    <mergeCell ref="B711:E711"/>
    <mergeCell ref="A709:A710"/>
    <mergeCell ref="B709:B710"/>
    <mergeCell ref="C709:C710"/>
    <mergeCell ref="F709:F710"/>
    <mergeCell ref="A696:A697"/>
    <mergeCell ref="B696:B697"/>
    <mergeCell ref="C696:C697"/>
    <mergeCell ref="D696:D697"/>
    <mergeCell ref="E696:E697"/>
    <mergeCell ref="L696:L697"/>
    <mergeCell ref="M696:M697"/>
    <mergeCell ref="N696:N697"/>
    <mergeCell ref="O696:O697"/>
    <mergeCell ref="B698:E698"/>
    <mergeCell ref="B700:E700"/>
    <mergeCell ref="B702:E702"/>
    <mergeCell ref="B704:E704"/>
    <mergeCell ref="B706:E706"/>
    <mergeCell ref="B708:E708"/>
    <mergeCell ref="A715:A716"/>
    <mergeCell ref="B715:B716"/>
    <mergeCell ref="C715:C716"/>
    <mergeCell ref="E715:E716"/>
    <mergeCell ref="A723:A726"/>
    <mergeCell ref="B723:B726"/>
    <mergeCell ref="C723:C726"/>
    <mergeCell ref="E723:E726"/>
    <mergeCell ref="M723:M726"/>
    <mergeCell ref="B722:E722"/>
    <mergeCell ref="B727:E727"/>
    <mergeCell ref="B729:E729"/>
    <mergeCell ref="B714:E714"/>
    <mergeCell ref="B717:E717"/>
    <mergeCell ref="M715:M716"/>
    <mergeCell ref="A718:A721"/>
    <mergeCell ref="B718:B721"/>
    <mergeCell ref="C718:C721"/>
    <mergeCell ref="E718:E721"/>
    <mergeCell ref="M718:M721"/>
    <mergeCell ref="A770:A772"/>
    <mergeCell ref="B770:B772"/>
    <mergeCell ref="C770:C772"/>
    <mergeCell ref="E770:E772"/>
    <mergeCell ref="M770:M772"/>
    <mergeCell ref="N770:N772"/>
    <mergeCell ref="B769:E769"/>
    <mergeCell ref="B773:E773"/>
    <mergeCell ref="A748:A757"/>
    <mergeCell ref="B748:B757"/>
    <mergeCell ref="C748:C757"/>
    <mergeCell ref="E748:E757"/>
    <mergeCell ref="M748:M757"/>
    <mergeCell ref="N748:N757"/>
    <mergeCell ref="A759:A768"/>
    <mergeCell ref="B759:B768"/>
    <mergeCell ref="C759:C768"/>
    <mergeCell ref="E759:E768"/>
    <mergeCell ref="M759:M768"/>
    <mergeCell ref="N759:N768"/>
    <mergeCell ref="B758:E758"/>
    <mergeCell ref="C804:D804"/>
    <mergeCell ref="B536:E536"/>
    <mergeCell ref="B538:E538"/>
    <mergeCell ref="B540:E540"/>
    <mergeCell ref="B544:E544"/>
    <mergeCell ref="B547:E547"/>
    <mergeCell ref="B549:E549"/>
    <mergeCell ref="B551:E551"/>
    <mergeCell ref="B556:E556"/>
    <mergeCell ref="B559:E559"/>
    <mergeCell ref="B562:E562"/>
    <mergeCell ref="B564:E564"/>
    <mergeCell ref="B566:E566"/>
    <mergeCell ref="B568:E568"/>
    <mergeCell ref="B570:E570"/>
    <mergeCell ref="B573:E573"/>
    <mergeCell ref="B577:E577"/>
    <mergeCell ref="B579:E579"/>
    <mergeCell ref="B775:E775"/>
    <mergeCell ref="B777:E777"/>
    <mergeCell ref="B779:E779"/>
    <mergeCell ref="B781:E781"/>
    <mergeCell ref="B785:E785"/>
    <mergeCell ref="B789:E789"/>
    <mergeCell ref="H417:H424"/>
    <mergeCell ref="H434:H436"/>
    <mergeCell ref="B803:E803"/>
    <mergeCell ref="N679:N680"/>
    <mergeCell ref="M679:M680"/>
    <mergeCell ref="E679:E680"/>
    <mergeCell ref="B679:B680"/>
    <mergeCell ref="K693:K694"/>
    <mergeCell ref="K696:K697"/>
    <mergeCell ref="K709:K710"/>
    <mergeCell ref="B799:E799"/>
    <mergeCell ref="B801:E801"/>
    <mergeCell ref="B731:E731"/>
    <mergeCell ref="B733:E733"/>
    <mergeCell ref="B735:E735"/>
    <mergeCell ref="B737:E737"/>
    <mergeCell ref="B739:E739"/>
    <mergeCell ref="B741:E741"/>
    <mergeCell ref="B743:E743"/>
    <mergeCell ref="B745:E745"/>
    <mergeCell ref="B747:E747"/>
    <mergeCell ref="E709:E710"/>
    <mergeCell ref="L709:L710"/>
    <mergeCell ref="M709:M710"/>
  </mergeCells>
  <pageMargins left="0.7" right="0.7" top="0.75" bottom="0.75" header="0.3" footer="0.3"/>
  <pageSetup paperSize="9" scale="14" orientation="landscape" verticalDpi="300" r:id="rId1"/>
  <rowBreaks count="10" manualBreakCount="10">
    <brk id="33" max="13" man="1"/>
    <brk id="91" max="13" man="1"/>
    <brk id="126" max="13" man="1"/>
    <brk id="158" max="13" man="1"/>
    <brk id="191" max="13" man="1"/>
    <brk id="269" max="13" man="1"/>
    <brk id="337" max="13" man="1"/>
    <brk id="353" max="13" man="1"/>
    <brk id="424" max="13" man="1"/>
    <brk id="519" max="1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EE6C"/>
  </sheetPr>
  <dimension ref="A1:N409"/>
  <sheetViews>
    <sheetView view="pageBreakPreview" topLeftCell="A271" zoomScale="60" zoomScaleNormal="100" workbookViewId="0">
      <selection activeCell="G153" sqref="G153"/>
    </sheetView>
  </sheetViews>
  <sheetFormatPr defaultRowHeight="15" x14ac:dyDescent="0.25"/>
  <cols>
    <col min="1" max="1" width="5.5703125" customWidth="1"/>
    <col min="2" max="2" width="40" customWidth="1"/>
    <col min="3" max="3" width="37.140625" customWidth="1"/>
    <col min="4" max="4" width="48.28515625" customWidth="1"/>
    <col min="5" max="5" width="41" customWidth="1"/>
    <col min="6" max="6" width="18.28515625" style="144" customWidth="1"/>
    <col min="7" max="7" width="29.5703125" style="144" customWidth="1"/>
    <col min="8" max="8" width="13.5703125" style="144" customWidth="1"/>
    <col min="9" max="9" width="21.5703125" style="144" customWidth="1"/>
    <col min="10" max="10" width="28.85546875" style="144" customWidth="1"/>
    <col min="11" max="11" width="15.28515625" style="133" customWidth="1"/>
    <col min="12" max="12" width="23.28515625" customWidth="1"/>
    <col min="13" max="13" width="30" customWidth="1"/>
    <col min="14" max="14" width="38.85546875" customWidth="1"/>
  </cols>
  <sheetData>
    <row r="1" spans="1:14" ht="15.75" x14ac:dyDescent="0.25">
      <c r="A1" s="413" t="s">
        <v>0</v>
      </c>
      <c r="B1" s="415" t="s">
        <v>530</v>
      </c>
      <c r="C1" s="415" t="s">
        <v>1</v>
      </c>
      <c r="D1" s="415" t="s">
        <v>2</v>
      </c>
      <c r="E1" s="415" t="s">
        <v>6</v>
      </c>
      <c r="F1" s="417" t="s">
        <v>3</v>
      </c>
      <c r="G1" s="415" t="s">
        <v>7</v>
      </c>
      <c r="H1" s="415" t="s">
        <v>4</v>
      </c>
      <c r="I1" s="415"/>
      <c r="J1" s="417" t="s">
        <v>5</v>
      </c>
      <c r="K1" s="602" t="s">
        <v>489</v>
      </c>
      <c r="L1" s="419" t="s">
        <v>8</v>
      </c>
      <c r="M1" s="419" t="s">
        <v>9</v>
      </c>
      <c r="N1" s="603" t="s">
        <v>10</v>
      </c>
    </row>
    <row r="2" spans="1:14" ht="15.75" x14ac:dyDescent="0.25">
      <c r="A2" s="611"/>
      <c r="B2" s="604"/>
      <c r="C2" s="604"/>
      <c r="D2" s="604"/>
      <c r="E2" s="604"/>
      <c r="F2" s="606"/>
      <c r="G2" s="604"/>
      <c r="H2" s="112" t="s">
        <v>11</v>
      </c>
      <c r="I2" s="112" t="s">
        <v>12</v>
      </c>
      <c r="J2" s="606"/>
      <c r="K2" s="610"/>
      <c r="L2" s="607"/>
      <c r="M2" s="607"/>
      <c r="N2" s="605"/>
    </row>
    <row r="3" spans="1:14" ht="37.5" x14ac:dyDescent="0.25">
      <c r="A3" s="108">
        <v>1</v>
      </c>
      <c r="B3" s="108" t="s">
        <v>17</v>
      </c>
      <c r="C3" s="108" t="s">
        <v>14</v>
      </c>
      <c r="D3" s="134" t="s">
        <v>15</v>
      </c>
      <c r="E3" s="101" t="s">
        <v>18</v>
      </c>
      <c r="F3" s="102">
        <v>13.754741900000001</v>
      </c>
      <c r="G3" s="101" t="s">
        <v>19</v>
      </c>
      <c r="H3" s="101" t="s">
        <v>16</v>
      </c>
      <c r="I3" s="101">
        <v>141875</v>
      </c>
      <c r="J3" s="102">
        <v>2.506507</v>
      </c>
      <c r="K3" s="108">
        <v>5</v>
      </c>
      <c r="L3" s="101">
        <v>2016</v>
      </c>
      <c r="M3" s="101" t="s">
        <v>20</v>
      </c>
      <c r="N3" s="101" t="s">
        <v>21</v>
      </c>
    </row>
    <row r="4" spans="1:14" ht="19.5" x14ac:dyDescent="0.25">
      <c r="A4" s="108"/>
      <c r="B4" s="431" t="s">
        <v>22</v>
      </c>
      <c r="C4" s="431"/>
      <c r="D4" s="135"/>
      <c r="E4" s="47"/>
      <c r="F4" s="37">
        <f>SUM(F3)</f>
        <v>13.754741900000001</v>
      </c>
      <c r="G4" s="47"/>
      <c r="H4" s="47"/>
      <c r="I4" s="47"/>
      <c r="J4" s="37">
        <f>SUM(J3)</f>
        <v>2.506507</v>
      </c>
      <c r="K4" s="106"/>
      <c r="L4" s="47"/>
      <c r="M4" s="101"/>
      <c r="N4" s="101"/>
    </row>
    <row r="5" spans="1:14" ht="37.5" customHeight="1" x14ac:dyDescent="0.25">
      <c r="A5" s="452">
        <v>2</v>
      </c>
      <c r="B5" s="452" t="s">
        <v>1279</v>
      </c>
      <c r="C5" s="452" t="s">
        <v>35</v>
      </c>
      <c r="D5" s="614" t="s">
        <v>40</v>
      </c>
      <c r="E5" s="449" t="s">
        <v>38</v>
      </c>
      <c r="F5" s="456">
        <v>1.5</v>
      </c>
      <c r="G5" s="449" t="s">
        <v>56</v>
      </c>
      <c r="H5" s="449" t="s">
        <v>16</v>
      </c>
      <c r="I5" s="449">
        <v>19950</v>
      </c>
      <c r="J5" s="456">
        <v>0.25861200000000001</v>
      </c>
      <c r="K5" s="452">
        <v>6</v>
      </c>
      <c r="L5" s="449">
        <v>2016</v>
      </c>
      <c r="M5" s="449" t="s">
        <v>20</v>
      </c>
      <c r="N5" s="449" t="s">
        <v>21</v>
      </c>
    </row>
    <row r="6" spans="1:14" ht="18.75" customHeight="1" x14ac:dyDescent="0.25">
      <c r="A6" s="571"/>
      <c r="B6" s="571"/>
      <c r="C6" s="571"/>
      <c r="D6" s="616"/>
      <c r="E6" s="490"/>
      <c r="F6" s="558"/>
      <c r="G6" s="490"/>
      <c r="H6" s="490"/>
      <c r="I6" s="490"/>
      <c r="J6" s="558"/>
      <c r="K6" s="571"/>
      <c r="L6" s="490"/>
      <c r="M6" s="490"/>
      <c r="N6" s="490"/>
    </row>
    <row r="7" spans="1:14" x14ac:dyDescent="0.25">
      <c r="A7" s="434"/>
      <c r="B7" s="434"/>
      <c r="C7" s="434"/>
      <c r="D7" s="615"/>
      <c r="E7" s="433"/>
      <c r="F7" s="457"/>
      <c r="G7" s="433"/>
      <c r="H7" s="433"/>
      <c r="I7" s="433"/>
      <c r="J7" s="457"/>
      <c r="K7" s="434"/>
      <c r="L7" s="433"/>
      <c r="M7" s="433"/>
      <c r="N7" s="433"/>
    </row>
    <row r="8" spans="1:14" ht="19.5" x14ac:dyDescent="0.25">
      <c r="A8" s="108"/>
      <c r="B8" s="612" t="s">
        <v>22</v>
      </c>
      <c r="C8" s="613"/>
      <c r="D8" s="135"/>
      <c r="E8" s="47"/>
      <c r="F8" s="88">
        <f>SUM(F5:F6)</f>
        <v>1.5</v>
      </c>
      <c r="G8" s="47"/>
      <c r="H8" s="47"/>
      <c r="I8" s="47"/>
      <c r="J8" s="88">
        <f>SUM(J5:J6)</f>
        <v>0.25861200000000001</v>
      </c>
      <c r="K8" s="106"/>
      <c r="L8" s="47"/>
      <c r="M8" s="101"/>
      <c r="N8" s="101"/>
    </row>
    <row r="9" spans="1:14" ht="91.5" customHeight="1" x14ac:dyDescent="0.25">
      <c r="A9" s="108">
        <v>3</v>
      </c>
      <c r="B9" s="108" t="s">
        <v>47</v>
      </c>
      <c r="C9" s="49" t="s">
        <v>45</v>
      </c>
      <c r="D9" s="134" t="s">
        <v>46</v>
      </c>
      <c r="E9" s="101" t="s">
        <v>48</v>
      </c>
      <c r="F9" s="87">
        <v>25.08</v>
      </c>
      <c r="G9" s="101" t="s">
        <v>26</v>
      </c>
      <c r="H9" s="101" t="s">
        <v>16</v>
      </c>
      <c r="I9" s="101">
        <v>253950</v>
      </c>
      <c r="J9" s="87">
        <v>8.36</v>
      </c>
      <c r="K9" s="108">
        <v>3</v>
      </c>
      <c r="L9" s="101">
        <v>2016</v>
      </c>
      <c r="M9" s="101" t="s">
        <v>1068</v>
      </c>
      <c r="N9" s="101" t="s">
        <v>21</v>
      </c>
    </row>
    <row r="10" spans="1:14" ht="19.5" x14ac:dyDescent="0.25">
      <c r="A10" s="108"/>
      <c r="B10" s="612" t="s">
        <v>22</v>
      </c>
      <c r="C10" s="613"/>
      <c r="D10" s="135"/>
      <c r="E10" s="47"/>
      <c r="F10" s="88">
        <f>SUM(F9)</f>
        <v>25.08</v>
      </c>
      <c r="G10" s="47"/>
      <c r="H10" s="47"/>
      <c r="I10" s="47"/>
      <c r="J10" s="88">
        <f>SUM(J9)</f>
        <v>8.36</v>
      </c>
      <c r="K10" s="106"/>
      <c r="L10" s="47"/>
      <c r="M10" s="101"/>
      <c r="N10" s="101"/>
    </row>
    <row r="11" spans="1:14" ht="56.25" x14ac:dyDescent="0.25">
      <c r="A11" s="108">
        <v>4</v>
      </c>
      <c r="B11" s="108" t="s">
        <v>52</v>
      </c>
      <c r="C11" s="108" t="s">
        <v>50</v>
      </c>
      <c r="D11" s="134" t="s">
        <v>51</v>
      </c>
      <c r="E11" s="101" t="s">
        <v>459</v>
      </c>
      <c r="F11" s="87">
        <v>168.737765</v>
      </c>
      <c r="G11" s="101" t="s">
        <v>26</v>
      </c>
      <c r="H11" s="101" t="s">
        <v>16</v>
      </c>
      <c r="I11" s="101">
        <v>4069677</v>
      </c>
      <c r="J11" s="87">
        <v>52.344185000000003</v>
      </c>
      <c r="K11" s="108">
        <v>4</v>
      </c>
      <c r="L11" s="101">
        <v>2016</v>
      </c>
      <c r="M11" s="101" t="s">
        <v>20</v>
      </c>
      <c r="N11" s="101" t="s">
        <v>21</v>
      </c>
    </row>
    <row r="12" spans="1:14" ht="19.5" x14ac:dyDescent="0.25">
      <c r="A12" s="108"/>
      <c r="B12" s="612" t="s">
        <v>22</v>
      </c>
      <c r="C12" s="613"/>
      <c r="D12" s="135"/>
      <c r="E12" s="47"/>
      <c r="F12" s="88">
        <f>SUM(F11)</f>
        <v>168.737765</v>
      </c>
      <c r="G12" s="47"/>
      <c r="H12" s="47"/>
      <c r="I12" s="47"/>
      <c r="J12" s="88">
        <f>SUM(J11)</f>
        <v>52.344185000000003</v>
      </c>
      <c r="K12" s="106"/>
      <c r="L12" s="47"/>
      <c r="M12" s="101"/>
      <c r="N12" s="101"/>
    </row>
    <row r="13" spans="1:14" x14ac:dyDescent="0.25">
      <c r="A13" s="426">
        <v>5</v>
      </c>
      <c r="B13" s="426" t="s">
        <v>55</v>
      </c>
      <c r="C13" s="426" t="s">
        <v>54</v>
      </c>
      <c r="D13" s="614" t="s">
        <v>40</v>
      </c>
      <c r="E13" s="427" t="s">
        <v>38</v>
      </c>
      <c r="F13" s="456">
        <v>1.5</v>
      </c>
      <c r="G13" s="427" t="s">
        <v>56</v>
      </c>
      <c r="H13" s="449" t="s">
        <v>16</v>
      </c>
      <c r="I13" s="449">
        <v>23615</v>
      </c>
      <c r="J13" s="456">
        <v>0.30612099999999998</v>
      </c>
      <c r="K13" s="452">
        <v>5</v>
      </c>
      <c r="L13" s="449">
        <v>2016</v>
      </c>
      <c r="M13" s="427" t="s">
        <v>43</v>
      </c>
      <c r="N13" s="427" t="s">
        <v>21</v>
      </c>
    </row>
    <row r="14" spans="1:14" ht="18.75" customHeight="1" x14ac:dyDescent="0.25">
      <c r="A14" s="426"/>
      <c r="B14" s="426"/>
      <c r="C14" s="426"/>
      <c r="D14" s="616"/>
      <c r="E14" s="427"/>
      <c r="F14" s="558"/>
      <c r="G14" s="427"/>
      <c r="H14" s="490"/>
      <c r="I14" s="490"/>
      <c r="J14" s="558"/>
      <c r="K14" s="571"/>
      <c r="L14" s="490"/>
      <c r="M14" s="427"/>
      <c r="N14" s="427"/>
    </row>
    <row r="15" spans="1:14" x14ac:dyDescent="0.25">
      <c r="A15" s="426"/>
      <c r="B15" s="426"/>
      <c r="C15" s="426"/>
      <c r="D15" s="615"/>
      <c r="E15" s="427"/>
      <c r="F15" s="457"/>
      <c r="G15" s="427"/>
      <c r="H15" s="433"/>
      <c r="I15" s="433"/>
      <c r="J15" s="457"/>
      <c r="K15" s="434"/>
      <c r="L15" s="433"/>
      <c r="M15" s="427"/>
      <c r="N15" s="427"/>
    </row>
    <row r="16" spans="1:14" ht="19.5" x14ac:dyDescent="0.25">
      <c r="A16" s="108"/>
      <c r="B16" s="431" t="s">
        <v>22</v>
      </c>
      <c r="C16" s="431"/>
      <c r="D16" s="135"/>
      <c r="E16" s="47"/>
      <c r="F16" s="88">
        <f>SUM(F13:F14)</f>
        <v>1.5</v>
      </c>
      <c r="G16" s="47"/>
      <c r="H16" s="47"/>
      <c r="I16" s="47"/>
      <c r="J16" s="88">
        <f>SUM(J13:J14)</f>
        <v>0.30612099999999998</v>
      </c>
      <c r="K16" s="106"/>
      <c r="L16" s="47"/>
      <c r="M16" s="101"/>
      <c r="N16" s="101"/>
    </row>
    <row r="17" spans="1:14" ht="93.75" x14ac:dyDescent="0.25">
      <c r="A17" s="108">
        <v>6</v>
      </c>
      <c r="B17" s="108" t="s">
        <v>71</v>
      </c>
      <c r="C17" s="108" t="s">
        <v>69</v>
      </c>
      <c r="D17" s="134" t="s">
        <v>70</v>
      </c>
      <c r="E17" s="101" t="s">
        <v>18</v>
      </c>
      <c r="F17" s="87">
        <v>2.5686</v>
      </c>
      <c r="G17" s="101" t="s">
        <v>72</v>
      </c>
      <c r="H17" s="101" t="s">
        <v>16</v>
      </c>
      <c r="I17" s="101">
        <v>31558</v>
      </c>
      <c r="J17" s="87">
        <v>0.64599300000000004</v>
      </c>
      <c r="K17" s="108">
        <v>4</v>
      </c>
      <c r="L17" s="101">
        <v>2016</v>
      </c>
      <c r="M17" s="101" t="s">
        <v>1148</v>
      </c>
      <c r="N17" s="101" t="s">
        <v>21</v>
      </c>
    </row>
    <row r="18" spans="1:14" ht="19.5" x14ac:dyDescent="0.25">
      <c r="A18" s="108"/>
      <c r="B18" s="431" t="s">
        <v>22</v>
      </c>
      <c r="C18" s="431"/>
      <c r="D18" s="135"/>
      <c r="E18" s="47"/>
      <c r="F18" s="88">
        <f>SUM(F17)</f>
        <v>2.5686</v>
      </c>
      <c r="G18" s="47"/>
      <c r="H18" s="47"/>
      <c r="I18" s="47"/>
      <c r="J18" s="88">
        <f>SUM(J17)</f>
        <v>0.64599300000000004</v>
      </c>
      <c r="K18" s="106"/>
      <c r="L18" s="47"/>
      <c r="M18" s="101"/>
      <c r="N18" s="101"/>
    </row>
    <row r="19" spans="1:14" ht="93.75" x14ac:dyDescent="0.25">
      <c r="A19" s="108">
        <v>7</v>
      </c>
      <c r="B19" s="108" t="s">
        <v>71</v>
      </c>
      <c r="C19" s="108" t="s">
        <v>73</v>
      </c>
      <c r="D19" s="134" t="s">
        <v>70</v>
      </c>
      <c r="E19" s="101" t="s">
        <v>18</v>
      </c>
      <c r="F19" s="87">
        <v>10.624599999999999</v>
      </c>
      <c r="G19" s="101" t="s">
        <v>72</v>
      </c>
      <c r="H19" s="101" t="s">
        <v>16</v>
      </c>
      <c r="I19" s="101">
        <v>88827</v>
      </c>
      <c r="J19" s="87">
        <v>2.359245</v>
      </c>
      <c r="K19" s="108">
        <v>4.5</v>
      </c>
      <c r="L19" s="101">
        <v>2016</v>
      </c>
      <c r="M19" s="101" t="s">
        <v>466</v>
      </c>
      <c r="N19" s="101" t="s">
        <v>21</v>
      </c>
    </row>
    <row r="20" spans="1:14" ht="19.5" x14ac:dyDescent="0.25">
      <c r="A20" s="108"/>
      <c r="B20" s="431" t="s">
        <v>22</v>
      </c>
      <c r="C20" s="431"/>
      <c r="D20" s="135"/>
      <c r="E20" s="47"/>
      <c r="F20" s="88">
        <f>SUM(F19)</f>
        <v>10.624599999999999</v>
      </c>
      <c r="G20" s="47"/>
      <c r="H20" s="47"/>
      <c r="I20" s="47"/>
      <c r="J20" s="88">
        <f>SUM(J19)</f>
        <v>2.359245</v>
      </c>
      <c r="K20" s="106"/>
      <c r="L20" s="47"/>
      <c r="M20" s="101"/>
      <c r="N20" s="101"/>
    </row>
    <row r="21" spans="1:14" ht="93.75" x14ac:dyDescent="0.25">
      <c r="A21" s="108">
        <v>8</v>
      </c>
      <c r="B21" s="108" t="s">
        <v>71</v>
      </c>
      <c r="C21" s="108" t="s">
        <v>74</v>
      </c>
      <c r="D21" s="134" t="s">
        <v>70</v>
      </c>
      <c r="E21" s="101" t="s">
        <v>18</v>
      </c>
      <c r="F21" s="87">
        <v>5.2</v>
      </c>
      <c r="G21" s="101" t="s">
        <v>72</v>
      </c>
      <c r="H21" s="101" t="s">
        <v>16</v>
      </c>
      <c r="I21" s="101">
        <v>33035</v>
      </c>
      <c r="J21" s="87">
        <v>0.87741000000000002</v>
      </c>
      <c r="K21" s="108">
        <v>5.9</v>
      </c>
      <c r="L21" s="101">
        <v>2016</v>
      </c>
      <c r="M21" s="101" t="s">
        <v>466</v>
      </c>
      <c r="N21" s="101" t="s">
        <v>21</v>
      </c>
    </row>
    <row r="22" spans="1:14" ht="19.5" x14ac:dyDescent="0.25">
      <c r="A22" s="108"/>
      <c r="B22" s="431" t="s">
        <v>22</v>
      </c>
      <c r="C22" s="431"/>
      <c r="D22" s="135"/>
      <c r="E22" s="47"/>
      <c r="F22" s="88">
        <f>SUM(F21)</f>
        <v>5.2</v>
      </c>
      <c r="G22" s="47"/>
      <c r="H22" s="47"/>
      <c r="I22" s="47"/>
      <c r="J22" s="88">
        <f>SUM(J21)</f>
        <v>0.87741000000000002</v>
      </c>
      <c r="K22" s="106"/>
      <c r="L22" s="47"/>
      <c r="M22" s="101"/>
      <c r="N22" s="101"/>
    </row>
    <row r="23" spans="1:14" ht="93.75" x14ac:dyDescent="0.25">
      <c r="A23" s="108">
        <v>9</v>
      </c>
      <c r="B23" s="108" t="s">
        <v>76</v>
      </c>
      <c r="C23" s="108" t="s">
        <v>75</v>
      </c>
      <c r="D23" s="134" t="s">
        <v>70</v>
      </c>
      <c r="E23" s="101" t="s">
        <v>18</v>
      </c>
      <c r="F23" s="87">
        <v>4.9485999999999999</v>
      </c>
      <c r="G23" s="101" t="s">
        <v>72</v>
      </c>
      <c r="H23" s="101" t="s">
        <v>16</v>
      </c>
      <c r="I23" s="101">
        <v>48023</v>
      </c>
      <c r="J23" s="87">
        <v>0.761965</v>
      </c>
      <c r="K23" s="108">
        <v>6.5</v>
      </c>
      <c r="L23" s="101">
        <v>2016</v>
      </c>
      <c r="M23" s="101" t="s">
        <v>1148</v>
      </c>
      <c r="N23" s="101" t="s">
        <v>21</v>
      </c>
    </row>
    <row r="24" spans="1:14" ht="19.5" x14ac:dyDescent="0.25">
      <c r="A24" s="108"/>
      <c r="B24" s="431" t="s">
        <v>22</v>
      </c>
      <c r="C24" s="431"/>
      <c r="D24" s="135"/>
      <c r="E24" s="47"/>
      <c r="F24" s="88">
        <f>SUM(F23)</f>
        <v>4.9485999999999999</v>
      </c>
      <c r="G24" s="47"/>
      <c r="H24" s="47"/>
      <c r="I24" s="47"/>
      <c r="J24" s="88">
        <f>SUM(J23)</f>
        <v>0.761965</v>
      </c>
      <c r="K24" s="106"/>
      <c r="L24" s="47"/>
      <c r="M24" s="101"/>
      <c r="N24" s="101"/>
    </row>
    <row r="25" spans="1:14" ht="112.5" x14ac:dyDescent="0.25">
      <c r="A25" s="108">
        <v>10</v>
      </c>
      <c r="B25" s="108" t="s">
        <v>78</v>
      </c>
      <c r="C25" s="108" t="s">
        <v>77</v>
      </c>
      <c r="D25" s="134" t="s">
        <v>70</v>
      </c>
      <c r="E25" s="101" t="s">
        <v>18</v>
      </c>
      <c r="F25" s="87">
        <v>6.5381999999999998</v>
      </c>
      <c r="G25" s="101" t="s">
        <v>72</v>
      </c>
      <c r="H25" s="101" t="s">
        <v>16</v>
      </c>
      <c r="I25" s="101">
        <v>53347</v>
      </c>
      <c r="J25" s="87">
        <v>1.120287</v>
      </c>
      <c r="K25" s="108">
        <v>5.8</v>
      </c>
      <c r="L25" s="101">
        <v>2016</v>
      </c>
      <c r="M25" s="101" t="s">
        <v>43</v>
      </c>
      <c r="N25" s="101" t="s">
        <v>21</v>
      </c>
    </row>
    <row r="26" spans="1:14" ht="19.5" x14ac:dyDescent="0.25">
      <c r="A26" s="108"/>
      <c r="B26" s="431" t="s">
        <v>22</v>
      </c>
      <c r="C26" s="431"/>
      <c r="D26" s="135"/>
      <c r="E26" s="47"/>
      <c r="F26" s="88">
        <f>SUM(F25)</f>
        <v>6.5381999999999998</v>
      </c>
      <c r="G26" s="47"/>
      <c r="H26" s="47"/>
      <c r="I26" s="47"/>
      <c r="J26" s="88">
        <f>SUM(J25)</f>
        <v>1.120287</v>
      </c>
      <c r="K26" s="106"/>
      <c r="L26" s="47"/>
      <c r="M26" s="101"/>
      <c r="N26" s="101"/>
    </row>
    <row r="27" spans="1:14" ht="18.75" x14ac:dyDescent="0.25">
      <c r="A27" s="109"/>
      <c r="B27" s="109" t="s">
        <v>79</v>
      </c>
      <c r="C27" s="109"/>
      <c r="D27" s="138"/>
      <c r="E27" s="51"/>
      <c r="F27" s="52">
        <f>F4+F8+F10+F12+F16+F18+F20+F22+F24+F26</f>
        <v>240.45250689999997</v>
      </c>
      <c r="G27" s="51"/>
      <c r="H27" s="51"/>
      <c r="I27" s="51"/>
      <c r="J27" s="52">
        <f>J4+J8+J10+J12+J16+J18+J20+J22+J24+J26</f>
        <v>69.54032500000001</v>
      </c>
      <c r="K27" s="109"/>
      <c r="L27" s="51"/>
      <c r="M27" s="53"/>
      <c r="N27" s="53"/>
    </row>
    <row r="28" spans="1:14" ht="93.75" x14ac:dyDescent="0.25">
      <c r="A28" s="108">
        <v>11</v>
      </c>
      <c r="B28" s="108" t="s">
        <v>82</v>
      </c>
      <c r="C28" s="108" t="s">
        <v>80</v>
      </c>
      <c r="D28" s="134" t="s">
        <v>81</v>
      </c>
      <c r="E28" s="101" t="s">
        <v>83</v>
      </c>
      <c r="F28" s="87">
        <v>5</v>
      </c>
      <c r="G28" s="101" t="s">
        <v>84</v>
      </c>
      <c r="H28" s="101" t="s">
        <v>16</v>
      </c>
      <c r="I28" s="101">
        <v>210826.6</v>
      </c>
      <c r="J28" s="87">
        <v>3.87921</v>
      </c>
      <c r="K28" s="108">
        <v>1.3</v>
      </c>
      <c r="L28" s="101">
        <v>2017</v>
      </c>
      <c r="M28" s="101" t="s">
        <v>27</v>
      </c>
      <c r="N28" s="101" t="s">
        <v>21</v>
      </c>
    </row>
    <row r="29" spans="1:14" ht="19.5" x14ac:dyDescent="0.25">
      <c r="A29" s="108"/>
      <c r="B29" s="431" t="s">
        <v>22</v>
      </c>
      <c r="C29" s="431"/>
      <c r="D29" s="135"/>
      <c r="E29" s="47"/>
      <c r="F29" s="88">
        <f>SUM(F28)</f>
        <v>5</v>
      </c>
      <c r="G29" s="47"/>
      <c r="H29" s="47"/>
      <c r="I29" s="47"/>
      <c r="J29" s="88">
        <f>SUM(J28)</f>
        <v>3.87921</v>
      </c>
      <c r="K29" s="106"/>
      <c r="L29" s="47"/>
      <c r="M29" s="101"/>
      <c r="N29" s="101"/>
    </row>
    <row r="30" spans="1:14" ht="93.75" x14ac:dyDescent="0.25">
      <c r="A30" s="108">
        <v>12</v>
      </c>
      <c r="B30" s="108" t="s">
        <v>88</v>
      </c>
      <c r="C30" s="108" t="s">
        <v>85</v>
      </c>
      <c r="D30" s="134" t="s">
        <v>86</v>
      </c>
      <c r="E30" s="101" t="s">
        <v>89</v>
      </c>
      <c r="F30" s="87">
        <v>2336</v>
      </c>
      <c r="G30" s="101" t="s">
        <v>90</v>
      </c>
      <c r="H30" s="101" t="s">
        <v>87</v>
      </c>
      <c r="I30" s="101">
        <v>1869120</v>
      </c>
      <c r="J30" s="87">
        <v>33.713999999999999</v>
      </c>
      <c r="K30" s="108">
        <v>7</v>
      </c>
      <c r="L30" s="101">
        <v>2017</v>
      </c>
      <c r="M30" s="101" t="s">
        <v>1064</v>
      </c>
      <c r="N30" s="101" t="s">
        <v>21</v>
      </c>
    </row>
    <row r="31" spans="1:14" ht="19.5" x14ac:dyDescent="0.25">
      <c r="A31" s="108"/>
      <c r="B31" s="431" t="s">
        <v>22</v>
      </c>
      <c r="C31" s="431"/>
      <c r="D31" s="135"/>
      <c r="E31" s="47"/>
      <c r="F31" s="88">
        <f>SUM(F30)</f>
        <v>2336</v>
      </c>
      <c r="G31" s="47"/>
      <c r="H31" s="47"/>
      <c r="I31" s="47"/>
      <c r="J31" s="88">
        <f>SUM(J30)</f>
        <v>33.713999999999999</v>
      </c>
      <c r="K31" s="106"/>
      <c r="L31" s="47"/>
      <c r="M31" s="101"/>
      <c r="N31" s="101"/>
    </row>
    <row r="32" spans="1:14" ht="75" x14ac:dyDescent="0.25">
      <c r="A32" s="108">
        <v>13</v>
      </c>
      <c r="B32" s="108" t="s">
        <v>93</v>
      </c>
      <c r="C32" s="108" t="s">
        <v>91</v>
      </c>
      <c r="D32" s="134" t="s">
        <v>92</v>
      </c>
      <c r="E32" s="101" t="s">
        <v>94</v>
      </c>
      <c r="F32" s="87">
        <v>747.1</v>
      </c>
      <c r="G32" s="101" t="s">
        <v>95</v>
      </c>
      <c r="H32" s="101" t="s">
        <v>87</v>
      </c>
      <c r="I32" s="101">
        <v>43074434</v>
      </c>
      <c r="J32" s="87">
        <v>349.00099999999998</v>
      </c>
      <c r="K32" s="108">
        <v>2.2999999999999998</v>
      </c>
      <c r="L32" s="101">
        <v>2017</v>
      </c>
      <c r="M32" s="101" t="s">
        <v>1149</v>
      </c>
      <c r="N32" s="101" t="s">
        <v>21</v>
      </c>
    </row>
    <row r="33" spans="1:14" ht="19.5" x14ac:dyDescent="0.25">
      <c r="A33" s="108"/>
      <c r="B33" s="431" t="s">
        <v>22</v>
      </c>
      <c r="C33" s="431"/>
      <c r="D33" s="135"/>
      <c r="E33" s="47"/>
      <c r="F33" s="88">
        <f>SUM(F32)</f>
        <v>747.1</v>
      </c>
      <c r="G33" s="47"/>
      <c r="H33" s="47"/>
      <c r="I33" s="47"/>
      <c r="J33" s="88">
        <f>SUM(J32)</f>
        <v>349.00099999999998</v>
      </c>
      <c r="K33" s="106"/>
      <c r="L33" s="47"/>
      <c r="M33" s="101"/>
      <c r="N33" s="101"/>
    </row>
    <row r="34" spans="1:14" ht="112.5" x14ac:dyDescent="0.25">
      <c r="A34" s="108">
        <v>14</v>
      </c>
      <c r="B34" s="108" t="s">
        <v>98</v>
      </c>
      <c r="C34" s="108" t="s">
        <v>96</v>
      </c>
      <c r="D34" s="134" t="s">
        <v>97</v>
      </c>
      <c r="E34" s="101" t="s">
        <v>94</v>
      </c>
      <c r="F34" s="87">
        <v>732.9</v>
      </c>
      <c r="G34" s="101" t="s">
        <v>90</v>
      </c>
      <c r="H34" s="101" t="s">
        <v>16</v>
      </c>
      <c r="I34" s="101">
        <v>2187132</v>
      </c>
      <c r="J34" s="87">
        <v>46.9</v>
      </c>
      <c r="K34" s="108">
        <v>15.6</v>
      </c>
      <c r="L34" s="101">
        <v>2017</v>
      </c>
      <c r="M34" s="101" t="s">
        <v>446</v>
      </c>
      <c r="N34" s="101" t="s">
        <v>21</v>
      </c>
    </row>
    <row r="35" spans="1:14" ht="19.5" x14ac:dyDescent="0.25">
      <c r="A35" s="108"/>
      <c r="B35" s="431" t="s">
        <v>22</v>
      </c>
      <c r="C35" s="431"/>
      <c r="D35" s="135"/>
      <c r="E35" s="47"/>
      <c r="F35" s="88">
        <f>SUM(F34)</f>
        <v>732.9</v>
      </c>
      <c r="G35" s="47"/>
      <c r="H35" s="47"/>
      <c r="I35" s="47"/>
      <c r="J35" s="88">
        <f>SUM(J34)</f>
        <v>46.9</v>
      </c>
      <c r="K35" s="106"/>
      <c r="L35" s="47"/>
      <c r="M35" s="101"/>
      <c r="N35" s="101"/>
    </row>
    <row r="36" spans="1:14" ht="75" x14ac:dyDescent="0.25">
      <c r="A36" s="108">
        <v>15</v>
      </c>
      <c r="B36" s="108" t="s">
        <v>100</v>
      </c>
      <c r="C36" s="108" t="s">
        <v>99</v>
      </c>
      <c r="D36" s="134" t="s">
        <v>97</v>
      </c>
      <c r="E36" s="101" t="s">
        <v>101</v>
      </c>
      <c r="F36" s="87">
        <v>1088</v>
      </c>
      <c r="G36" s="101" t="s">
        <v>90</v>
      </c>
      <c r="H36" s="101" t="s">
        <v>16</v>
      </c>
      <c r="I36" s="101">
        <v>8576089</v>
      </c>
      <c r="J36" s="87">
        <v>142.345</v>
      </c>
      <c r="K36" s="108">
        <v>7.6</v>
      </c>
      <c r="L36" s="101">
        <v>2017</v>
      </c>
      <c r="M36" s="101" t="s">
        <v>446</v>
      </c>
      <c r="N36" s="101" t="s">
        <v>21</v>
      </c>
    </row>
    <row r="37" spans="1:14" ht="19.5" x14ac:dyDescent="0.25">
      <c r="A37" s="108"/>
      <c r="B37" s="431" t="s">
        <v>22</v>
      </c>
      <c r="C37" s="431"/>
      <c r="D37" s="135"/>
      <c r="E37" s="47"/>
      <c r="F37" s="88">
        <f>SUM(F36)</f>
        <v>1088</v>
      </c>
      <c r="G37" s="47"/>
      <c r="H37" s="47"/>
      <c r="I37" s="47"/>
      <c r="J37" s="88">
        <f>SUM(J36)</f>
        <v>142.345</v>
      </c>
      <c r="K37" s="106"/>
      <c r="L37" s="47"/>
      <c r="M37" s="101"/>
      <c r="N37" s="101"/>
    </row>
    <row r="38" spans="1:14" ht="37.5" customHeight="1" x14ac:dyDescent="0.25">
      <c r="A38" s="108">
        <v>16</v>
      </c>
      <c r="B38" s="108" t="s">
        <v>103</v>
      </c>
      <c r="C38" s="108" t="s">
        <v>1161</v>
      </c>
      <c r="D38" s="134" t="s">
        <v>102</v>
      </c>
      <c r="E38" s="101" t="s">
        <v>103</v>
      </c>
      <c r="F38" s="87">
        <v>14.5</v>
      </c>
      <c r="G38" s="101" t="s">
        <v>104</v>
      </c>
      <c r="H38" s="101" t="s">
        <v>16</v>
      </c>
      <c r="I38" s="101">
        <v>962022</v>
      </c>
      <c r="J38" s="87">
        <v>14.670999999999999</v>
      </c>
      <c r="K38" s="108">
        <v>1</v>
      </c>
      <c r="L38" s="101">
        <v>2017</v>
      </c>
      <c r="M38" s="101" t="s">
        <v>27</v>
      </c>
      <c r="N38" s="101" t="s">
        <v>21</v>
      </c>
    </row>
    <row r="39" spans="1:14" ht="19.5" x14ac:dyDescent="0.25">
      <c r="A39" s="108"/>
      <c r="B39" s="612" t="s">
        <v>22</v>
      </c>
      <c r="C39" s="613"/>
      <c r="D39" s="135"/>
      <c r="E39" s="47"/>
      <c r="F39" s="88">
        <f>SUM(F38)</f>
        <v>14.5</v>
      </c>
      <c r="G39" s="47"/>
      <c r="H39" s="47"/>
      <c r="I39" s="47"/>
      <c r="J39" s="88">
        <f>SUM(J38)</f>
        <v>14.670999999999999</v>
      </c>
      <c r="K39" s="106"/>
      <c r="L39" s="47"/>
      <c r="M39" s="101"/>
      <c r="N39" s="101"/>
    </row>
    <row r="40" spans="1:14" ht="37.5" customHeight="1" x14ac:dyDescent="0.25">
      <c r="A40" s="108">
        <v>17</v>
      </c>
      <c r="B40" s="108" t="s">
        <v>107</v>
      </c>
      <c r="C40" s="108" t="s">
        <v>105</v>
      </c>
      <c r="D40" s="134" t="s">
        <v>106</v>
      </c>
      <c r="E40" s="101" t="s">
        <v>107</v>
      </c>
      <c r="F40" s="87">
        <v>2.2080000000000002</v>
      </c>
      <c r="G40" s="101" t="s">
        <v>104</v>
      </c>
      <c r="H40" s="101" t="s">
        <v>16</v>
      </c>
      <c r="I40" s="101">
        <v>91214</v>
      </c>
      <c r="J40" s="87">
        <v>1.69</v>
      </c>
      <c r="K40" s="108">
        <v>1.3</v>
      </c>
      <c r="L40" s="101">
        <v>2017</v>
      </c>
      <c r="M40" s="101" t="s">
        <v>27</v>
      </c>
      <c r="N40" s="101" t="s">
        <v>21</v>
      </c>
    </row>
    <row r="41" spans="1:14" ht="19.5" x14ac:dyDescent="0.25">
      <c r="A41" s="108"/>
      <c r="B41" s="612" t="s">
        <v>22</v>
      </c>
      <c r="C41" s="613"/>
      <c r="D41" s="135"/>
      <c r="E41" s="47"/>
      <c r="F41" s="88">
        <f>SUM(F40)</f>
        <v>2.2080000000000002</v>
      </c>
      <c r="G41" s="47"/>
      <c r="H41" s="47"/>
      <c r="I41" s="47"/>
      <c r="J41" s="88">
        <f>SUM(J40)</f>
        <v>1.69</v>
      </c>
      <c r="K41" s="106"/>
      <c r="L41" s="47"/>
      <c r="M41" s="101"/>
      <c r="N41" s="101"/>
    </row>
    <row r="42" spans="1:14" ht="37.5" x14ac:dyDescent="0.25">
      <c r="A42" s="452">
        <v>18</v>
      </c>
      <c r="B42" s="452" t="s">
        <v>111</v>
      </c>
      <c r="C42" s="452" t="s">
        <v>109</v>
      </c>
      <c r="D42" s="134" t="s">
        <v>110</v>
      </c>
      <c r="E42" s="449" t="s">
        <v>111</v>
      </c>
      <c r="F42" s="87">
        <v>10.510999999999999</v>
      </c>
      <c r="G42" s="449" t="s">
        <v>104</v>
      </c>
      <c r="H42" s="101" t="s">
        <v>16</v>
      </c>
      <c r="I42" s="101">
        <v>171733</v>
      </c>
      <c r="J42" s="87">
        <v>3.28</v>
      </c>
      <c r="K42" s="108">
        <v>3.2</v>
      </c>
      <c r="L42" s="449">
        <v>2017</v>
      </c>
      <c r="M42" s="449" t="s">
        <v>438</v>
      </c>
      <c r="N42" s="449" t="s">
        <v>21</v>
      </c>
    </row>
    <row r="43" spans="1:14" ht="37.5" x14ac:dyDescent="0.25">
      <c r="A43" s="571"/>
      <c r="B43" s="571"/>
      <c r="C43" s="571"/>
      <c r="D43" s="134" t="s">
        <v>112</v>
      </c>
      <c r="E43" s="490"/>
      <c r="F43" s="87">
        <v>1.8680000000000001</v>
      </c>
      <c r="G43" s="490"/>
      <c r="H43" s="101" t="s">
        <v>16</v>
      </c>
      <c r="I43" s="101">
        <v>17930</v>
      </c>
      <c r="J43" s="87">
        <v>0.33900000000000002</v>
      </c>
      <c r="K43" s="108">
        <v>5.5</v>
      </c>
      <c r="L43" s="490"/>
      <c r="M43" s="490"/>
      <c r="N43" s="490"/>
    </row>
    <row r="44" spans="1:14" ht="56.25" x14ac:dyDescent="0.25">
      <c r="A44" s="571"/>
      <c r="B44" s="571"/>
      <c r="C44" s="571"/>
      <c r="D44" s="134" t="s">
        <v>113</v>
      </c>
      <c r="E44" s="490"/>
      <c r="F44" s="87">
        <v>3.96</v>
      </c>
      <c r="G44" s="490"/>
      <c r="H44" s="101" t="s">
        <v>16</v>
      </c>
      <c r="I44" s="101">
        <v>61290</v>
      </c>
      <c r="J44" s="87">
        <v>1.1599999999999999</v>
      </c>
      <c r="K44" s="108">
        <v>3.4</v>
      </c>
      <c r="L44" s="490"/>
      <c r="M44" s="490"/>
      <c r="N44" s="490"/>
    </row>
    <row r="45" spans="1:14" ht="37.5" x14ac:dyDescent="0.25">
      <c r="A45" s="434"/>
      <c r="B45" s="434"/>
      <c r="C45" s="434"/>
      <c r="D45" s="134" t="s">
        <v>114</v>
      </c>
      <c r="E45" s="433"/>
      <c r="F45" s="87">
        <v>0.307</v>
      </c>
      <c r="G45" s="433"/>
      <c r="H45" s="101" t="s">
        <v>16</v>
      </c>
      <c r="I45" s="101">
        <v>67313</v>
      </c>
      <c r="J45" s="87">
        <v>1.5349999999999999</v>
      </c>
      <c r="K45" s="108">
        <v>0.2</v>
      </c>
      <c r="L45" s="433"/>
      <c r="M45" s="433"/>
      <c r="N45" s="433"/>
    </row>
    <row r="46" spans="1:14" ht="19.5" x14ac:dyDescent="0.25">
      <c r="A46" s="108"/>
      <c r="B46" s="612" t="s">
        <v>22</v>
      </c>
      <c r="C46" s="613"/>
      <c r="D46" s="135"/>
      <c r="E46" s="47"/>
      <c r="F46" s="88">
        <f>SUM(F42:F45)</f>
        <v>16.645999999999997</v>
      </c>
      <c r="G46" s="47"/>
      <c r="H46" s="47"/>
      <c r="I46" s="47"/>
      <c r="J46" s="88">
        <f>SUM(J42:J45)</f>
        <v>6.3140000000000001</v>
      </c>
      <c r="K46" s="106"/>
      <c r="L46" s="47"/>
      <c r="M46" s="101"/>
      <c r="N46" s="101"/>
    </row>
    <row r="47" spans="1:14" ht="56.25" customHeight="1" x14ac:dyDescent="0.25">
      <c r="A47" s="452">
        <v>19</v>
      </c>
      <c r="B47" s="452" t="s">
        <v>122</v>
      </c>
      <c r="C47" s="452" t="s">
        <v>120</v>
      </c>
      <c r="D47" s="614" t="s">
        <v>121</v>
      </c>
      <c r="E47" s="449" t="s">
        <v>122</v>
      </c>
      <c r="F47" s="456">
        <v>10.46</v>
      </c>
      <c r="G47" s="449" t="s">
        <v>104</v>
      </c>
      <c r="H47" s="449" t="s">
        <v>16</v>
      </c>
      <c r="I47" s="449">
        <v>85191</v>
      </c>
      <c r="J47" s="456">
        <v>1.089</v>
      </c>
      <c r="K47" s="452">
        <v>9.6</v>
      </c>
      <c r="L47" s="449">
        <v>2017</v>
      </c>
      <c r="M47" s="449" t="s">
        <v>466</v>
      </c>
      <c r="N47" s="449" t="s">
        <v>21</v>
      </c>
    </row>
    <row r="48" spans="1:14" ht="18.75" customHeight="1" x14ac:dyDescent="0.25">
      <c r="A48" s="434"/>
      <c r="B48" s="434"/>
      <c r="C48" s="434"/>
      <c r="D48" s="615"/>
      <c r="E48" s="433"/>
      <c r="F48" s="457"/>
      <c r="G48" s="433"/>
      <c r="H48" s="433"/>
      <c r="I48" s="433"/>
      <c r="J48" s="457"/>
      <c r="K48" s="434"/>
      <c r="L48" s="433"/>
      <c r="M48" s="433"/>
      <c r="N48" s="433"/>
    </row>
    <row r="49" spans="1:14" ht="19.5" x14ac:dyDescent="0.25">
      <c r="A49" s="108"/>
      <c r="B49" s="612" t="s">
        <v>22</v>
      </c>
      <c r="C49" s="613"/>
      <c r="D49" s="135"/>
      <c r="E49" s="47"/>
      <c r="F49" s="88">
        <f>SUM(F47:F48)</f>
        <v>10.46</v>
      </c>
      <c r="G49" s="47"/>
      <c r="H49" s="47"/>
      <c r="I49" s="47"/>
      <c r="J49" s="88">
        <f>SUM(J47:J48)</f>
        <v>1.089</v>
      </c>
      <c r="K49" s="106"/>
      <c r="L49" s="47"/>
      <c r="M49" s="101"/>
      <c r="N49" s="101"/>
    </row>
    <row r="50" spans="1:14" ht="18.75" customHeight="1" x14ac:dyDescent="0.25">
      <c r="A50" s="452">
        <v>20</v>
      </c>
      <c r="B50" s="452" t="s">
        <v>126</v>
      </c>
      <c r="C50" s="452" t="s">
        <v>124</v>
      </c>
      <c r="D50" s="614" t="s">
        <v>125</v>
      </c>
      <c r="E50" s="449" t="s">
        <v>126</v>
      </c>
      <c r="F50" s="456">
        <v>13.9</v>
      </c>
      <c r="G50" s="449" t="s">
        <v>104</v>
      </c>
      <c r="H50" s="449" t="s">
        <v>16</v>
      </c>
      <c r="I50" s="449">
        <v>283659</v>
      </c>
      <c r="J50" s="456">
        <v>4.2119999999999997</v>
      </c>
      <c r="K50" s="452">
        <v>3.3</v>
      </c>
      <c r="L50" s="449">
        <v>2017</v>
      </c>
      <c r="M50" s="449" t="s">
        <v>438</v>
      </c>
      <c r="N50" s="449" t="s">
        <v>21</v>
      </c>
    </row>
    <row r="51" spans="1:14" ht="18.75" customHeight="1" x14ac:dyDescent="0.25">
      <c r="A51" s="434"/>
      <c r="B51" s="434"/>
      <c r="C51" s="434"/>
      <c r="D51" s="615"/>
      <c r="E51" s="433"/>
      <c r="F51" s="457"/>
      <c r="G51" s="433"/>
      <c r="H51" s="433"/>
      <c r="I51" s="433"/>
      <c r="J51" s="457"/>
      <c r="K51" s="434"/>
      <c r="L51" s="433"/>
      <c r="M51" s="433"/>
      <c r="N51" s="433"/>
    </row>
    <row r="52" spans="1:14" ht="19.5" x14ac:dyDescent="0.25">
      <c r="A52" s="108"/>
      <c r="B52" s="612" t="s">
        <v>22</v>
      </c>
      <c r="C52" s="613"/>
      <c r="D52" s="135"/>
      <c r="E52" s="47"/>
      <c r="F52" s="88">
        <f>SUM(F50:F51)</f>
        <v>13.9</v>
      </c>
      <c r="G52" s="47"/>
      <c r="H52" s="47"/>
      <c r="I52" s="47"/>
      <c r="J52" s="88">
        <f>SUM(J50:J51)</f>
        <v>4.2119999999999997</v>
      </c>
      <c r="K52" s="106"/>
      <c r="L52" s="47"/>
      <c r="M52" s="101"/>
      <c r="N52" s="101"/>
    </row>
    <row r="53" spans="1:14" ht="37.5" x14ac:dyDescent="0.25">
      <c r="A53" s="108">
        <v>21</v>
      </c>
      <c r="B53" s="108" t="s">
        <v>131</v>
      </c>
      <c r="C53" s="108" t="s">
        <v>129</v>
      </c>
      <c r="D53" s="134" t="s">
        <v>130</v>
      </c>
      <c r="E53" s="101" t="s">
        <v>131</v>
      </c>
      <c r="F53" s="87">
        <v>15.1</v>
      </c>
      <c r="G53" s="101" t="s">
        <v>104</v>
      </c>
      <c r="H53" s="101" t="s">
        <v>16</v>
      </c>
      <c r="I53" s="101">
        <v>218630</v>
      </c>
      <c r="J53" s="87">
        <v>2.7240000000000002</v>
      </c>
      <c r="K53" s="108">
        <v>5.6</v>
      </c>
      <c r="L53" s="101">
        <v>2017</v>
      </c>
      <c r="M53" s="101" t="s">
        <v>466</v>
      </c>
      <c r="N53" s="101" t="s">
        <v>21</v>
      </c>
    </row>
    <row r="54" spans="1:14" ht="19.5" x14ac:dyDescent="0.25">
      <c r="A54" s="108"/>
      <c r="B54" s="612" t="s">
        <v>22</v>
      </c>
      <c r="C54" s="613"/>
      <c r="D54" s="135"/>
      <c r="E54" s="47"/>
      <c r="F54" s="88">
        <f>SUM(F53)</f>
        <v>15.1</v>
      </c>
      <c r="G54" s="47"/>
      <c r="H54" s="47"/>
      <c r="I54" s="47"/>
      <c r="J54" s="88">
        <f>SUM(J53)</f>
        <v>2.7240000000000002</v>
      </c>
      <c r="K54" s="106"/>
      <c r="L54" s="47"/>
      <c r="M54" s="101"/>
      <c r="N54" s="101"/>
    </row>
    <row r="55" spans="1:14" ht="37.5" x14ac:dyDescent="0.25">
      <c r="A55" s="452">
        <v>22</v>
      </c>
      <c r="B55" s="452" t="s">
        <v>138</v>
      </c>
      <c r="C55" s="452" t="s">
        <v>136</v>
      </c>
      <c r="D55" s="134" t="s">
        <v>137</v>
      </c>
      <c r="E55" s="449" t="s">
        <v>138</v>
      </c>
      <c r="F55" s="87">
        <v>98.63</v>
      </c>
      <c r="G55" s="449" t="s">
        <v>104</v>
      </c>
      <c r="H55" s="101" t="s">
        <v>16</v>
      </c>
      <c r="I55" s="101">
        <v>91377</v>
      </c>
      <c r="J55" s="87">
        <v>1.641</v>
      </c>
      <c r="K55" s="108">
        <v>0</v>
      </c>
      <c r="L55" s="449">
        <v>2017</v>
      </c>
      <c r="M55" s="449" t="s">
        <v>1064</v>
      </c>
      <c r="N55" s="449" t="s">
        <v>21</v>
      </c>
    </row>
    <row r="56" spans="1:14" ht="18.75" x14ac:dyDescent="0.25">
      <c r="A56" s="434"/>
      <c r="B56" s="434"/>
      <c r="C56" s="434"/>
      <c r="D56" s="134"/>
      <c r="E56" s="433"/>
      <c r="F56" s="87"/>
      <c r="G56" s="433"/>
      <c r="H56" s="101"/>
      <c r="I56" s="101"/>
      <c r="J56" s="87"/>
      <c r="K56" s="108"/>
      <c r="L56" s="433"/>
      <c r="M56" s="433"/>
      <c r="N56" s="433"/>
    </row>
    <row r="57" spans="1:14" ht="18.75" customHeight="1" x14ac:dyDescent="0.25">
      <c r="A57" s="108"/>
      <c r="B57" s="612" t="s">
        <v>22</v>
      </c>
      <c r="C57" s="613"/>
      <c r="D57" s="135"/>
      <c r="E57" s="47"/>
      <c r="F57" s="88">
        <f>SUM(F55:F56)</f>
        <v>98.63</v>
      </c>
      <c r="G57" s="47"/>
      <c r="H57" s="47"/>
      <c r="I57" s="47"/>
      <c r="J57" s="88">
        <f>SUM(J55:J56)</f>
        <v>1.641</v>
      </c>
      <c r="K57" s="106"/>
      <c r="L57" s="47"/>
      <c r="M57" s="101"/>
      <c r="N57" s="101"/>
    </row>
    <row r="58" spans="1:14" ht="37.5" x14ac:dyDescent="0.25">
      <c r="A58" s="452">
        <v>23</v>
      </c>
      <c r="B58" s="452" t="s">
        <v>141</v>
      </c>
      <c r="C58" s="452" t="s">
        <v>140</v>
      </c>
      <c r="D58" s="134" t="s">
        <v>137</v>
      </c>
      <c r="E58" s="449" t="s">
        <v>141</v>
      </c>
      <c r="F58" s="87">
        <v>42</v>
      </c>
      <c r="G58" s="449" t="s">
        <v>104</v>
      </c>
      <c r="H58" s="101" t="s">
        <v>16</v>
      </c>
      <c r="I58" s="101">
        <v>1824000</v>
      </c>
      <c r="J58" s="87">
        <v>13.68</v>
      </c>
      <c r="K58" s="108">
        <v>3</v>
      </c>
      <c r="L58" s="449">
        <v>2017</v>
      </c>
      <c r="M58" s="449" t="s">
        <v>142</v>
      </c>
      <c r="N58" s="449" t="s">
        <v>21</v>
      </c>
    </row>
    <row r="59" spans="1:14" ht="18.75" x14ac:dyDescent="0.25">
      <c r="A59" s="434"/>
      <c r="B59" s="434"/>
      <c r="C59" s="434"/>
      <c r="D59" s="134"/>
      <c r="E59" s="433"/>
      <c r="F59" s="87"/>
      <c r="G59" s="433"/>
      <c r="H59" s="101"/>
      <c r="I59" s="101"/>
      <c r="J59" s="87"/>
      <c r="K59" s="108"/>
      <c r="L59" s="433"/>
      <c r="M59" s="433"/>
      <c r="N59" s="433"/>
    </row>
    <row r="60" spans="1:14" ht="18.75" customHeight="1" x14ac:dyDescent="0.25">
      <c r="A60" s="108"/>
      <c r="B60" s="612" t="s">
        <v>22</v>
      </c>
      <c r="C60" s="613"/>
      <c r="D60" s="135"/>
      <c r="E60" s="47"/>
      <c r="F60" s="88">
        <f>SUM(F58:F59)</f>
        <v>42</v>
      </c>
      <c r="G60" s="47"/>
      <c r="H60" s="47"/>
      <c r="I60" s="47"/>
      <c r="J60" s="88">
        <f>SUM(J58:J59)</f>
        <v>13.68</v>
      </c>
      <c r="K60" s="106"/>
      <c r="L60" s="47"/>
      <c r="M60" s="101"/>
      <c r="N60" s="101"/>
    </row>
    <row r="61" spans="1:14" ht="37.5" x14ac:dyDescent="0.25">
      <c r="A61" s="108">
        <v>24</v>
      </c>
      <c r="B61" s="108" t="s">
        <v>146</v>
      </c>
      <c r="C61" s="108" t="s">
        <v>144</v>
      </c>
      <c r="D61" s="134" t="s">
        <v>145</v>
      </c>
      <c r="E61" s="101" t="s">
        <v>146</v>
      </c>
      <c r="F61" s="87">
        <v>3.75</v>
      </c>
      <c r="G61" s="101" t="s">
        <v>104</v>
      </c>
      <c r="H61" s="101" t="s">
        <v>16</v>
      </c>
      <c r="I61" s="101">
        <v>340200</v>
      </c>
      <c r="J61" s="87">
        <v>4.7628000000000004</v>
      </c>
      <c r="K61" s="108">
        <v>0.8</v>
      </c>
      <c r="L61" s="101">
        <v>2017</v>
      </c>
      <c r="M61" s="101" t="s">
        <v>27</v>
      </c>
      <c r="N61" s="101" t="s">
        <v>21</v>
      </c>
    </row>
    <row r="62" spans="1:14" ht="19.5" x14ac:dyDescent="0.25">
      <c r="A62" s="108"/>
      <c r="B62" s="612" t="s">
        <v>22</v>
      </c>
      <c r="C62" s="613"/>
      <c r="D62" s="135"/>
      <c r="E62" s="47"/>
      <c r="F62" s="88">
        <f>SUM(F61)</f>
        <v>3.75</v>
      </c>
      <c r="G62" s="47"/>
      <c r="H62" s="47"/>
      <c r="I62" s="47"/>
      <c r="J62" s="88">
        <f>SUM(J61)</f>
        <v>4.7628000000000004</v>
      </c>
      <c r="K62" s="106"/>
      <c r="L62" s="47"/>
      <c r="M62" s="101"/>
      <c r="N62" s="101"/>
    </row>
    <row r="63" spans="1:14" ht="37.5" customHeight="1" x14ac:dyDescent="0.25">
      <c r="A63" s="108">
        <v>25</v>
      </c>
      <c r="B63" s="108" t="s">
        <v>149</v>
      </c>
      <c r="C63" s="108" t="s">
        <v>147</v>
      </c>
      <c r="D63" s="134" t="s">
        <v>148</v>
      </c>
      <c r="E63" s="101" t="s">
        <v>149</v>
      </c>
      <c r="F63" s="87">
        <v>1.0149999999999999</v>
      </c>
      <c r="G63" s="101" t="s">
        <v>104</v>
      </c>
      <c r="H63" s="101" t="s">
        <v>16</v>
      </c>
      <c r="I63" s="101">
        <v>295.93799999999999</v>
      </c>
      <c r="J63" s="87">
        <v>0.61899999999999999</v>
      </c>
      <c r="K63" s="108">
        <v>1.7</v>
      </c>
      <c r="L63" s="101">
        <v>2017</v>
      </c>
      <c r="M63" s="101" t="s">
        <v>438</v>
      </c>
      <c r="N63" s="101" t="s">
        <v>21</v>
      </c>
    </row>
    <row r="64" spans="1:14" ht="19.5" x14ac:dyDescent="0.25">
      <c r="A64" s="108"/>
      <c r="B64" s="612" t="s">
        <v>22</v>
      </c>
      <c r="C64" s="613"/>
      <c r="D64" s="135"/>
      <c r="E64" s="47"/>
      <c r="F64" s="88">
        <f>SUM(F63)</f>
        <v>1.0149999999999999</v>
      </c>
      <c r="G64" s="47"/>
      <c r="H64" s="47"/>
      <c r="I64" s="47"/>
      <c r="J64" s="88">
        <f>SUM(J63)</f>
        <v>0.61899999999999999</v>
      </c>
      <c r="K64" s="106"/>
      <c r="L64" s="47"/>
      <c r="M64" s="101"/>
      <c r="N64" s="101"/>
    </row>
    <row r="65" spans="1:14" ht="37.5" customHeight="1" x14ac:dyDescent="0.25">
      <c r="A65" s="452">
        <v>26</v>
      </c>
      <c r="B65" s="452" t="s">
        <v>152</v>
      </c>
      <c r="C65" s="452" t="s">
        <v>150</v>
      </c>
      <c r="D65" s="614" t="s">
        <v>151</v>
      </c>
      <c r="E65" s="449" t="s">
        <v>152</v>
      </c>
      <c r="F65" s="456">
        <v>12.375</v>
      </c>
      <c r="G65" s="449" t="s">
        <v>104</v>
      </c>
      <c r="H65" s="449" t="s">
        <v>16</v>
      </c>
      <c r="I65" s="449">
        <v>114105.60000000001</v>
      </c>
      <c r="J65" s="456">
        <v>2.4750000000000001</v>
      </c>
      <c r="K65" s="452">
        <v>3.7</v>
      </c>
      <c r="L65" s="449">
        <v>2017</v>
      </c>
      <c r="M65" s="449" t="s">
        <v>142</v>
      </c>
      <c r="N65" s="449" t="s">
        <v>21</v>
      </c>
    </row>
    <row r="66" spans="1:14" ht="18.75" customHeight="1" x14ac:dyDescent="0.25">
      <c r="A66" s="571"/>
      <c r="B66" s="571"/>
      <c r="C66" s="571"/>
      <c r="D66" s="616"/>
      <c r="E66" s="490"/>
      <c r="F66" s="558"/>
      <c r="G66" s="490"/>
      <c r="H66" s="490"/>
      <c r="I66" s="490"/>
      <c r="J66" s="558"/>
      <c r="K66" s="571"/>
      <c r="L66" s="490"/>
      <c r="M66" s="490"/>
      <c r="N66" s="490"/>
    </row>
    <row r="67" spans="1:14" ht="18.75" customHeight="1" x14ac:dyDescent="0.25">
      <c r="A67" s="571"/>
      <c r="B67" s="571"/>
      <c r="C67" s="571"/>
      <c r="D67" s="616"/>
      <c r="E67" s="490"/>
      <c r="F67" s="558"/>
      <c r="G67" s="490"/>
      <c r="H67" s="490"/>
      <c r="I67" s="490"/>
      <c r="J67" s="558"/>
      <c r="K67" s="571"/>
      <c r="L67" s="490"/>
      <c r="M67" s="490"/>
      <c r="N67" s="490"/>
    </row>
    <row r="68" spans="1:14" ht="18.75" customHeight="1" x14ac:dyDescent="0.25">
      <c r="A68" s="434"/>
      <c r="B68" s="434"/>
      <c r="C68" s="434"/>
      <c r="D68" s="615"/>
      <c r="E68" s="433"/>
      <c r="F68" s="457"/>
      <c r="G68" s="433"/>
      <c r="H68" s="433"/>
      <c r="I68" s="433"/>
      <c r="J68" s="457"/>
      <c r="K68" s="434"/>
      <c r="L68" s="433"/>
      <c r="M68" s="433"/>
      <c r="N68" s="433"/>
    </row>
    <row r="69" spans="1:14" ht="19.5" x14ac:dyDescent="0.25">
      <c r="A69" s="108"/>
      <c r="B69" s="612" t="s">
        <v>22</v>
      </c>
      <c r="C69" s="613"/>
      <c r="D69" s="135"/>
      <c r="E69" s="47"/>
      <c r="F69" s="88">
        <f>SUM(F65:F68)</f>
        <v>12.375</v>
      </c>
      <c r="G69" s="47"/>
      <c r="H69" s="47"/>
      <c r="I69" s="47"/>
      <c r="J69" s="88">
        <f>SUM(J65:J68)</f>
        <v>2.4750000000000001</v>
      </c>
      <c r="K69" s="106"/>
      <c r="L69" s="47"/>
      <c r="M69" s="101"/>
      <c r="N69" s="101"/>
    </row>
    <row r="70" spans="1:14" ht="56.25" x14ac:dyDescent="0.25">
      <c r="A70" s="452">
        <v>27</v>
      </c>
      <c r="B70" s="452" t="s">
        <v>158</v>
      </c>
      <c r="C70" s="452" t="s">
        <v>156</v>
      </c>
      <c r="D70" s="134" t="s">
        <v>157</v>
      </c>
      <c r="E70" s="449" t="s">
        <v>158</v>
      </c>
      <c r="F70" s="87">
        <v>3.1</v>
      </c>
      <c r="G70" s="449" t="s">
        <v>104</v>
      </c>
      <c r="H70" s="101" t="s">
        <v>16</v>
      </c>
      <c r="I70" s="101">
        <v>284900</v>
      </c>
      <c r="J70" s="87">
        <v>2.7149999999999999</v>
      </c>
      <c r="K70" s="108">
        <v>1.2</v>
      </c>
      <c r="L70" s="449">
        <v>2017</v>
      </c>
      <c r="M70" s="449" t="s">
        <v>492</v>
      </c>
      <c r="N70" s="449" t="s">
        <v>21</v>
      </c>
    </row>
    <row r="71" spans="1:14" ht="37.5" customHeight="1" x14ac:dyDescent="0.25">
      <c r="A71" s="571"/>
      <c r="B71" s="571"/>
      <c r="C71" s="571"/>
      <c r="D71" s="614" t="s">
        <v>159</v>
      </c>
      <c r="E71" s="490"/>
      <c r="F71" s="456">
        <v>2.1</v>
      </c>
      <c r="G71" s="490"/>
      <c r="H71" s="449" t="s">
        <v>16</v>
      </c>
      <c r="I71" s="449">
        <v>116800</v>
      </c>
      <c r="J71" s="456">
        <v>1.67</v>
      </c>
      <c r="K71" s="452">
        <v>1.3</v>
      </c>
      <c r="L71" s="490"/>
      <c r="M71" s="490"/>
      <c r="N71" s="490"/>
    </row>
    <row r="72" spans="1:14" ht="18.75" customHeight="1" x14ac:dyDescent="0.25">
      <c r="A72" s="571"/>
      <c r="B72" s="571"/>
      <c r="C72" s="571"/>
      <c r="D72" s="616"/>
      <c r="E72" s="490"/>
      <c r="F72" s="558"/>
      <c r="G72" s="490"/>
      <c r="H72" s="490"/>
      <c r="I72" s="490"/>
      <c r="J72" s="558"/>
      <c r="K72" s="571"/>
      <c r="L72" s="490"/>
      <c r="M72" s="490"/>
      <c r="N72" s="490"/>
    </row>
    <row r="73" spans="1:14" ht="18.75" customHeight="1" x14ac:dyDescent="0.25">
      <c r="A73" s="571"/>
      <c r="B73" s="571"/>
      <c r="C73" s="571"/>
      <c r="D73" s="616"/>
      <c r="E73" s="490"/>
      <c r="F73" s="558"/>
      <c r="G73" s="490"/>
      <c r="H73" s="490"/>
      <c r="I73" s="490"/>
      <c r="J73" s="558"/>
      <c r="K73" s="571"/>
      <c r="L73" s="490"/>
      <c r="M73" s="490"/>
      <c r="N73" s="490"/>
    </row>
    <row r="74" spans="1:14" ht="18.75" customHeight="1" x14ac:dyDescent="0.25">
      <c r="A74" s="434"/>
      <c r="B74" s="434"/>
      <c r="C74" s="434"/>
      <c r="D74" s="615"/>
      <c r="E74" s="433"/>
      <c r="F74" s="457"/>
      <c r="G74" s="433"/>
      <c r="H74" s="433"/>
      <c r="I74" s="433"/>
      <c r="J74" s="457"/>
      <c r="K74" s="434"/>
      <c r="L74" s="433"/>
      <c r="M74" s="433"/>
      <c r="N74" s="433"/>
    </row>
    <row r="75" spans="1:14" ht="19.5" x14ac:dyDescent="0.25">
      <c r="A75" s="108"/>
      <c r="B75" s="612" t="s">
        <v>22</v>
      </c>
      <c r="C75" s="613"/>
      <c r="D75" s="135"/>
      <c r="E75" s="47"/>
      <c r="F75" s="88">
        <f>SUM(F70:F74)</f>
        <v>5.2</v>
      </c>
      <c r="G75" s="47"/>
      <c r="H75" s="47"/>
      <c r="I75" s="47"/>
      <c r="J75" s="88">
        <f>SUM(J70:J74)</f>
        <v>4.3849999999999998</v>
      </c>
      <c r="K75" s="106"/>
      <c r="L75" s="47"/>
      <c r="M75" s="101"/>
      <c r="N75" s="101"/>
    </row>
    <row r="76" spans="1:14" x14ac:dyDescent="0.25">
      <c r="A76" s="452">
        <v>28</v>
      </c>
      <c r="B76" s="452" t="s">
        <v>165</v>
      </c>
      <c r="C76" s="452" t="s">
        <v>163</v>
      </c>
      <c r="D76" s="614" t="s">
        <v>166</v>
      </c>
      <c r="E76" s="449" t="s">
        <v>165</v>
      </c>
      <c r="F76" s="456">
        <v>2.2000000000000002</v>
      </c>
      <c r="G76" s="449" t="s">
        <v>104</v>
      </c>
      <c r="H76" s="449" t="s">
        <v>16</v>
      </c>
      <c r="I76" s="449">
        <v>64800</v>
      </c>
      <c r="J76" s="456">
        <v>0.97</v>
      </c>
      <c r="K76" s="452">
        <v>3</v>
      </c>
      <c r="L76" s="449">
        <v>2017</v>
      </c>
      <c r="M76" s="449" t="s">
        <v>142</v>
      </c>
      <c r="N76" s="449" t="s">
        <v>21</v>
      </c>
    </row>
    <row r="77" spans="1:14" x14ac:dyDescent="0.25">
      <c r="A77" s="571"/>
      <c r="B77" s="571"/>
      <c r="C77" s="571"/>
      <c r="D77" s="616"/>
      <c r="E77" s="490"/>
      <c r="F77" s="558"/>
      <c r="G77" s="490"/>
      <c r="H77" s="490"/>
      <c r="I77" s="490"/>
      <c r="J77" s="558"/>
      <c r="K77" s="571"/>
      <c r="L77" s="490"/>
      <c r="M77" s="490"/>
      <c r="N77" s="490"/>
    </row>
    <row r="78" spans="1:14" ht="18.75" customHeight="1" x14ac:dyDescent="0.25">
      <c r="A78" s="434"/>
      <c r="B78" s="434"/>
      <c r="C78" s="434"/>
      <c r="D78" s="615"/>
      <c r="E78" s="433"/>
      <c r="F78" s="457"/>
      <c r="G78" s="433"/>
      <c r="H78" s="433"/>
      <c r="I78" s="433"/>
      <c r="J78" s="457"/>
      <c r="K78" s="434"/>
      <c r="L78" s="433"/>
      <c r="M78" s="433"/>
      <c r="N78" s="433"/>
    </row>
    <row r="79" spans="1:14" ht="19.5" x14ac:dyDescent="0.25">
      <c r="A79" s="108"/>
      <c r="B79" s="612" t="s">
        <v>22</v>
      </c>
      <c r="C79" s="613"/>
      <c r="D79" s="135"/>
      <c r="E79" s="47"/>
      <c r="F79" s="88">
        <f>SUM(F76:F78)</f>
        <v>2.2000000000000002</v>
      </c>
      <c r="G79" s="47"/>
      <c r="H79" s="47"/>
      <c r="I79" s="47"/>
      <c r="J79" s="88">
        <f>SUM(J76:J78)</f>
        <v>0.97</v>
      </c>
      <c r="K79" s="106"/>
      <c r="L79" s="47"/>
      <c r="M79" s="101"/>
      <c r="N79" s="101"/>
    </row>
    <row r="80" spans="1:14" ht="18.75" x14ac:dyDescent="0.25">
      <c r="A80" s="109"/>
      <c r="B80" s="109" t="s">
        <v>168</v>
      </c>
      <c r="C80" s="608"/>
      <c r="D80" s="608"/>
      <c r="E80" s="51"/>
      <c r="F80" s="52">
        <f>F29+F31+F33+F35+F37+F39+F46+F49+F52+F54+F57+F60+F62+F64+F69+F75+F79</f>
        <v>5144.7759999999998</v>
      </c>
      <c r="G80" s="51"/>
      <c r="H80" s="51"/>
      <c r="I80" s="51"/>
      <c r="J80" s="52">
        <f>J29+J31+J33+J35+J37+J39+J41+J46+J49+J52+J54+J57+J60+J62+J64+J69+J75+J79</f>
        <v>635.07201000000009</v>
      </c>
      <c r="K80" s="109"/>
      <c r="L80" s="51"/>
      <c r="M80" s="51"/>
      <c r="N80" s="51"/>
    </row>
    <row r="81" spans="1:14" ht="112.5" x14ac:dyDescent="0.25">
      <c r="A81" s="426">
        <v>29</v>
      </c>
      <c r="B81" s="426" t="s">
        <v>171</v>
      </c>
      <c r="C81" s="426" t="s">
        <v>169</v>
      </c>
      <c r="D81" s="134" t="s">
        <v>170</v>
      </c>
      <c r="E81" s="427" t="s">
        <v>172</v>
      </c>
      <c r="F81" s="87">
        <v>23.762</v>
      </c>
      <c r="G81" s="427" t="s">
        <v>173</v>
      </c>
      <c r="H81" s="101" t="s">
        <v>16</v>
      </c>
      <c r="I81" s="101">
        <v>895.024</v>
      </c>
      <c r="J81" s="87">
        <v>16.334</v>
      </c>
      <c r="K81" s="108">
        <v>1.45</v>
      </c>
      <c r="L81" s="427">
        <v>2018</v>
      </c>
      <c r="M81" s="427" t="s">
        <v>442</v>
      </c>
      <c r="N81" s="427" t="s">
        <v>21</v>
      </c>
    </row>
    <row r="82" spans="1:14" ht="112.5" x14ac:dyDescent="0.25">
      <c r="A82" s="426"/>
      <c r="B82" s="426"/>
      <c r="C82" s="426"/>
      <c r="D82" s="134" t="s">
        <v>174</v>
      </c>
      <c r="E82" s="427"/>
      <c r="F82" s="87">
        <v>12.754</v>
      </c>
      <c r="G82" s="427"/>
      <c r="H82" s="101" t="s">
        <v>16</v>
      </c>
      <c r="I82" s="101">
        <v>352.73599999999999</v>
      </c>
      <c r="J82" s="87">
        <v>6.4370000000000003</v>
      </c>
      <c r="K82" s="108">
        <v>1.98</v>
      </c>
      <c r="L82" s="427"/>
      <c r="M82" s="427"/>
      <c r="N82" s="427"/>
    </row>
    <row r="83" spans="1:14" ht="56.25" x14ac:dyDescent="0.25">
      <c r="A83" s="426"/>
      <c r="B83" s="426"/>
      <c r="C83" s="426"/>
      <c r="D83" s="134" t="s">
        <v>175</v>
      </c>
      <c r="E83" s="427"/>
      <c r="F83" s="87">
        <v>0.13600000000000001</v>
      </c>
      <c r="G83" s="427"/>
      <c r="H83" s="101" t="s">
        <v>16</v>
      </c>
      <c r="I83" s="101">
        <v>4.18</v>
      </c>
      <c r="J83" s="87">
        <v>7.5999999999999998E-2</v>
      </c>
      <c r="K83" s="108">
        <v>1.78</v>
      </c>
      <c r="L83" s="427"/>
      <c r="M83" s="427"/>
      <c r="N83" s="427"/>
    </row>
    <row r="84" spans="1:14" ht="37.5" customHeight="1" x14ac:dyDescent="0.25">
      <c r="A84" s="108"/>
      <c r="B84" s="431" t="s">
        <v>22</v>
      </c>
      <c r="C84" s="431"/>
      <c r="D84" s="135"/>
      <c r="E84" s="47"/>
      <c r="F84" s="88">
        <f>SUM(F81:F83)</f>
        <v>36.652000000000001</v>
      </c>
      <c r="G84" s="47"/>
      <c r="H84" s="47"/>
      <c r="I84" s="47"/>
      <c r="J84" s="88">
        <f>SUM(J81:J83)</f>
        <v>22.847000000000001</v>
      </c>
      <c r="K84" s="106"/>
      <c r="L84" s="47"/>
      <c r="M84" s="101"/>
      <c r="N84" s="101"/>
    </row>
    <row r="85" spans="1:14" ht="37.5" customHeight="1" x14ac:dyDescent="0.25">
      <c r="A85" s="452">
        <v>30</v>
      </c>
      <c r="B85" s="452" t="s">
        <v>178</v>
      </c>
      <c r="C85" s="452" t="s">
        <v>176</v>
      </c>
      <c r="D85" s="614" t="s">
        <v>177</v>
      </c>
      <c r="E85" s="449" t="s">
        <v>178</v>
      </c>
      <c r="F85" s="456">
        <v>7.7</v>
      </c>
      <c r="G85" s="449" t="s">
        <v>104</v>
      </c>
      <c r="H85" s="449" t="s">
        <v>16</v>
      </c>
      <c r="I85" s="449">
        <v>103500</v>
      </c>
      <c r="J85" s="456">
        <v>1.5820000000000001</v>
      </c>
      <c r="K85" s="452">
        <v>4.9000000000000004</v>
      </c>
      <c r="L85" s="449">
        <v>2018</v>
      </c>
      <c r="M85" s="449" t="s">
        <v>142</v>
      </c>
      <c r="N85" s="449" t="s">
        <v>21</v>
      </c>
    </row>
    <row r="86" spans="1:14" ht="18.75" customHeight="1" x14ac:dyDescent="0.25">
      <c r="A86" s="434"/>
      <c r="B86" s="434"/>
      <c r="C86" s="434"/>
      <c r="D86" s="615"/>
      <c r="E86" s="433"/>
      <c r="F86" s="457"/>
      <c r="G86" s="433"/>
      <c r="H86" s="433"/>
      <c r="I86" s="433"/>
      <c r="J86" s="457"/>
      <c r="K86" s="434"/>
      <c r="L86" s="433"/>
      <c r="M86" s="433"/>
      <c r="N86" s="433"/>
    </row>
    <row r="87" spans="1:14" ht="19.5" x14ac:dyDescent="0.25">
      <c r="A87" s="108"/>
      <c r="B87" s="612" t="s">
        <v>22</v>
      </c>
      <c r="C87" s="613"/>
      <c r="D87" s="135"/>
      <c r="E87" s="47"/>
      <c r="F87" s="88">
        <f>SUM(F85:F86)</f>
        <v>7.7</v>
      </c>
      <c r="G87" s="47"/>
      <c r="H87" s="47"/>
      <c r="I87" s="47"/>
      <c r="J87" s="88">
        <f>SUM(J85:J86)</f>
        <v>1.5820000000000001</v>
      </c>
      <c r="K87" s="106"/>
      <c r="L87" s="47"/>
      <c r="M87" s="101"/>
      <c r="N87" s="101"/>
    </row>
    <row r="88" spans="1:14" ht="18.75" x14ac:dyDescent="0.25">
      <c r="A88" s="452">
        <v>31</v>
      </c>
      <c r="B88" s="452" t="s">
        <v>182</v>
      </c>
      <c r="C88" s="452" t="s">
        <v>180</v>
      </c>
      <c r="D88" s="134" t="s">
        <v>181</v>
      </c>
      <c r="E88" s="449" t="s">
        <v>182</v>
      </c>
      <c r="F88" s="87">
        <v>1.02</v>
      </c>
      <c r="G88" s="449" t="s">
        <v>104</v>
      </c>
      <c r="H88" s="101" t="s">
        <v>16</v>
      </c>
      <c r="I88" s="101">
        <v>24600</v>
      </c>
      <c r="J88" s="87">
        <v>0.26617000000000002</v>
      </c>
      <c r="K88" s="108">
        <v>3.8</v>
      </c>
      <c r="L88" s="449">
        <v>2018</v>
      </c>
      <c r="M88" s="449" t="s">
        <v>142</v>
      </c>
      <c r="N88" s="449" t="s">
        <v>21</v>
      </c>
    </row>
    <row r="89" spans="1:14" ht="37.5" x14ac:dyDescent="0.25">
      <c r="A89" s="571"/>
      <c r="B89" s="571"/>
      <c r="C89" s="571"/>
      <c r="D89" s="134" t="s">
        <v>183</v>
      </c>
      <c r="E89" s="490"/>
      <c r="F89" s="87">
        <v>75.260000000000005</v>
      </c>
      <c r="G89" s="490"/>
      <c r="H89" s="101" t="s">
        <v>16</v>
      </c>
      <c r="I89" s="101">
        <v>496318</v>
      </c>
      <c r="J89" s="87">
        <v>5.476</v>
      </c>
      <c r="K89" s="108">
        <v>13.7</v>
      </c>
      <c r="L89" s="490"/>
      <c r="M89" s="490"/>
      <c r="N89" s="490"/>
    </row>
    <row r="90" spans="1:14" ht="37.5" customHeight="1" x14ac:dyDescent="0.25">
      <c r="A90" s="571"/>
      <c r="B90" s="571"/>
      <c r="C90" s="571"/>
      <c r="D90" s="614" t="s">
        <v>184</v>
      </c>
      <c r="E90" s="490"/>
      <c r="F90" s="456">
        <v>4</v>
      </c>
      <c r="G90" s="490"/>
      <c r="H90" s="449" t="s">
        <v>16</v>
      </c>
      <c r="I90" s="449">
        <v>141800</v>
      </c>
      <c r="J90" s="456">
        <v>1.5343</v>
      </c>
      <c r="K90" s="452">
        <v>2.6</v>
      </c>
      <c r="L90" s="490"/>
      <c r="M90" s="490"/>
      <c r="N90" s="490"/>
    </row>
    <row r="91" spans="1:14" ht="18.75" customHeight="1" x14ac:dyDescent="0.25">
      <c r="A91" s="434"/>
      <c r="B91" s="434"/>
      <c r="C91" s="434"/>
      <c r="D91" s="615"/>
      <c r="E91" s="433"/>
      <c r="F91" s="457"/>
      <c r="G91" s="433"/>
      <c r="H91" s="433"/>
      <c r="I91" s="433"/>
      <c r="J91" s="457"/>
      <c r="K91" s="434"/>
      <c r="L91" s="433"/>
      <c r="M91" s="433"/>
      <c r="N91" s="433"/>
    </row>
    <row r="92" spans="1:14" ht="19.5" x14ac:dyDescent="0.25">
      <c r="A92" s="108"/>
      <c r="B92" s="612" t="s">
        <v>22</v>
      </c>
      <c r="C92" s="613"/>
      <c r="D92" s="135"/>
      <c r="E92" s="47"/>
      <c r="F92" s="88">
        <f>SUM(F88:F91)</f>
        <v>80.28</v>
      </c>
      <c r="G92" s="47"/>
      <c r="H92" s="47"/>
      <c r="I92" s="47"/>
      <c r="J92" s="88">
        <f>SUM(J88:J91)</f>
        <v>7.2764699999999998</v>
      </c>
      <c r="K92" s="106"/>
      <c r="L92" s="47"/>
      <c r="M92" s="101"/>
      <c r="N92" s="101"/>
    </row>
    <row r="93" spans="1:14" ht="112.5" x14ac:dyDescent="0.25">
      <c r="A93" s="108">
        <v>32</v>
      </c>
      <c r="B93" s="108" t="s">
        <v>188</v>
      </c>
      <c r="C93" s="108" t="s">
        <v>186</v>
      </c>
      <c r="D93" s="134" t="s">
        <v>187</v>
      </c>
      <c r="E93" s="101" t="s">
        <v>189</v>
      </c>
      <c r="F93" s="87">
        <v>54.3</v>
      </c>
      <c r="G93" s="101" t="s">
        <v>190</v>
      </c>
      <c r="H93" s="101" t="s">
        <v>16</v>
      </c>
      <c r="I93" s="101">
        <v>523336</v>
      </c>
      <c r="J93" s="87">
        <v>9.35</v>
      </c>
      <c r="K93" s="108">
        <v>5.8</v>
      </c>
      <c r="L93" s="101">
        <v>2018</v>
      </c>
      <c r="M93" s="101" t="s">
        <v>142</v>
      </c>
      <c r="N93" s="101" t="s">
        <v>21</v>
      </c>
    </row>
    <row r="94" spans="1:14" ht="19.5" x14ac:dyDescent="0.25">
      <c r="A94" s="108"/>
      <c r="B94" s="431" t="s">
        <v>22</v>
      </c>
      <c r="C94" s="431"/>
      <c r="D94" s="135"/>
      <c r="E94" s="47"/>
      <c r="F94" s="88">
        <f>SUM(F93)</f>
        <v>54.3</v>
      </c>
      <c r="G94" s="47"/>
      <c r="H94" s="47"/>
      <c r="I94" s="47"/>
      <c r="J94" s="88">
        <f>SUM(J93)</f>
        <v>9.35</v>
      </c>
      <c r="K94" s="106"/>
      <c r="L94" s="47"/>
      <c r="M94" s="101"/>
      <c r="N94" s="101"/>
    </row>
    <row r="95" spans="1:14" ht="18.75" x14ac:dyDescent="0.25">
      <c r="A95" s="426">
        <v>33</v>
      </c>
      <c r="B95" s="426" t="s">
        <v>193</v>
      </c>
      <c r="C95" s="426" t="s">
        <v>191</v>
      </c>
      <c r="D95" s="134"/>
      <c r="E95" s="427" t="s">
        <v>193</v>
      </c>
      <c r="F95" s="87"/>
      <c r="G95" s="427" t="s">
        <v>104</v>
      </c>
      <c r="H95" s="101"/>
      <c r="I95" s="101"/>
      <c r="J95" s="87"/>
      <c r="K95" s="108"/>
      <c r="L95" s="427">
        <v>2018</v>
      </c>
      <c r="M95" s="427" t="s">
        <v>492</v>
      </c>
      <c r="N95" s="427" t="s">
        <v>21</v>
      </c>
    </row>
    <row r="96" spans="1:14" ht="37.5" x14ac:dyDescent="0.25">
      <c r="A96" s="426"/>
      <c r="B96" s="426"/>
      <c r="C96" s="426"/>
      <c r="D96" s="134" t="s">
        <v>194</v>
      </c>
      <c r="E96" s="427"/>
      <c r="F96" s="87">
        <v>26.114999999999998</v>
      </c>
      <c r="G96" s="427"/>
      <c r="H96" s="101" t="s">
        <v>16</v>
      </c>
      <c r="I96" s="101">
        <v>721.7</v>
      </c>
      <c r="J96" s="87">
        <v>9.4594000000000005</v>
      </c>
      <c r="K96" s="108">
        <v>2.8</v>
      </c>
      <c r="L96" s="427"/>
      <c r="M96" s="427"/>
      <c r="N96" s="427"/>
    </row>
    <row r="97" spans="1:14" ht="37.5" customHeight="1" x14ac:dyDescent="0.25">
      <c r="A97" s="426"/>
      <c r="B97" s="426"/>
      <c r="C97" s="426"/>
      <c r="D97" s="614" t="s">
        <v>195</v>
      </c>
      <c r="E97" s="427"/>
      <c r="F97" s="456">
        <v>0.08</v>
      </c>
      <c r="G97" s="427"/>
      <c r="H97" s="449" t="s">
        <v>16</v>
      </c>
      <c r="I97" s="449">
        <v>9.5</v>
      </c>
      <c r="J97" s="456">
        <v>0.1227</v>
      </c>
      <c r="K97" s="452">
        <v>0.7</v>
      </c>
      <c r="L97" s="427"/>
      <c r="M97" s="427"/>
      <c r="N97" s="427"/>
    </row>
    <row r="98" spans="1:14" ht="18.75" customHeight="1" x14ac:dyDescent="0.25">
      <c r="A98" s="426"/>
      <c r="B98" s="426"/>
      <c r="C98" s="426"/>
      <c r="D98" s="615"/>
      <c r="E98" s="427"/>
      <c r="F98" s="457"/>
      <c r="G98" s="427"/>
      <c r="H98" s="433"/>
      <c r="I98" s="433"/>
      <c r="J98" s="457"/>
      <c r="K98" s="434"/>
      <c r="L98" s="427"/>
      <c r="M98" s="427"/>
      <c r="N98" s="427"/>
    </row>
    <row r="99" spans="1:14" ht="19.5" x14ac:dyDescent="0.25">
      <c r="A99" s="108"/>
      <c r="B99" s="431" t="s">
        <v>22</v>
      </c>
      <c r="C99" s="431"/>
      <c r="D99" s="135"/>
      <c r="E99" s="47"/>
      <c r="F99" s="88">
        <f>SUM(F95:F98)</f>
        <v>26.194999999999997</v>
      </c>
      <c r="G99" s="47"/>
      <c r="H99" s="47"/>
      <c r="I99" s="47"/>
      <c r="J99" s="88">
        <f>SUM(J95:J98)</f>
        <v>9.5821000000000005</v>
      </c>
      <c r="K99" s="106"/>
      <c r="L99" s="47"/>
      <c r="M99" s="101"/>
      <c r="N99" s="101"/>
    </row>
    <row r="100" spans="1:14" ht="37.5" customHeight="1" x14ac:dyDescent="0.25">
      <c r="A100" s="426">
        <v>34</v>
      </c>
      <c r="B100" s="426" t="s">
        <v>199</v>
      </c>
      <c r="C100" s="426" t="s">
        <v>197</v>
      </c>
      <c r="D100" s="614" t="s">
        <v>198</v>
      </c>
      <c r="E100" s="427" t="s">
        <v>199</v>
      </c>
      <c r="F100" s="456">
        <v>39</v>
      </c>
      <c r="G100" s="427" t="s">
        <v>104</v>
      </c>
      <c r="H100" s="427" t="s">
        <v>16</v>
      </c>
      <c r="I100" s="449">
        <v>98400</v>
      </c>
      <c r="J100" s="456">
        <v>1.117</v>
      </c>
      <c r="K100" s="617">
        <v>7.6</v>
      </c>
      <c r="L100" s="427">
        <v>2018</v>
      </c>
      <c r="M100" s="427" t="s">
        <v>43</v>
      </c>
      <c r="N100" s="427" t="s">
        <v>21</v>
      </c>
    </row>
    <row r="101" spans="1:14" ht="18.75" customHeight="1" x14ac:dyDescent="0.25">
      <c r="A101" s="426"/>
      <c r="B101" s="426"/>
      <c r="C101" s="426"/>
      <c r="D101" s="616"/>
      <c r="E101" s="427"/>
      <c r="F101" s="558"/>
      <c r="G101" s="427"/>
      <c r="H101" s="427"/>
      <c r="I101" s="490"/>
      <c r="J101" s="558"/>
      <c r="K101" s="618"/>
      <c r="L101" s="427"/>
      <c r="M101" s="427"/>
      <c r="N101" s="427"/>
    </row>
    <row r="102" spans="1:14" ht="18.75" customHeight="1" x14ac:dyDescent="0.25">
      <c r="A102" s="426"/>
      <c r="B102" s="426"/>
      <c r="C102" s="426"/>
      <c r="D102" s="616"/>
      <c r="E102" s="427"/>
      <c r="F102" s="558"/>
      <c r="G102" s="427"/>
      <c r="H102" s="427"/>
      <c r="I102" s="490"/>
      <c r="J102" s="558"/>
      <c r="K102" s="618"/>
      <c r="L102" s="427"/>
      <c r="M102" s="427"/>
      <c r="N102" s="427"/>
    </row>
    <row r="103" spans="1:14" ht="18.75" customHeight="1" x14ac:dyDescent="0.25">
      <c r="A103" s="426"/>
      <c r="B103" s="426"/>
      <c r="C103" s="426"/>
      <c r="D103" s="615"/>
      <c r="E103" s="427"/>
      <c r="F103" s="457"/>
      <c r="G103" s="427"/>
      <c r="H103" s="427"/>
      <c r="I103" s="433"/>
      <c r="J103" s="457"/>
      <c r="K103" s="619"/>
      <c r="L103" s="427"/>
      <c r="M103" s="427"/>
      <c r="N103" s="427"/>
    </row>
    <row r="104" spans="1:14" ht="19.5" x14ac:dyDescent="0.25">
      <c r="A104" s="108"/>
      <c r="B104" s="431" t="s">
        <v>22</v>
      </c>
      <c r="C104" s="431"/>
      <c r="D104" s="135"/>
      <c r="E104" s="47"/>
      <c r="F104" s="88">
        <f>SUM(F100:F103)</f>
        <v>39</v>
      </c>
      <c r="G104" s="47"/>
      <c r="H104" s="47"/>
      <c r="I104" s="47"/>
      <c r="J104" s="88">
        <f>SUM(J100:J103)</f>
        <v>1.117</v>
      </c>
      <c r="K104" s="106"/>
      <c r="L104" s="47"/>
      <c r="M104" s="101"/>
      <c r="N104" s="101"/>
    </row>
    <row r="105" spans="1:14" x14ac:dyDescent="0.25">
      <c r="A105" s="426">
        <v>35</v>
      </c>
      <c r="B105" s="426" t="s">
        <v>205</v>
      </c>
      <c r="C105" s="426" t="s">
        <v>203</v>
      </c>
      <c r="D105" s="614" t="s">
        <v>212</v>
      </c>
      <c r="E105" s="427" t="s">
        <v>205</v>
      </c>
      <c r="F105" s="456">
        <v>75</v>
      </c>
      <c r="G105" s="427" t="s">
        <v>104</v>
      </c>
      <c r="H105" s="449" t="s">
        <v>16</v>
      </c>
      <c r="I105" s="449">
        <v>655200</v>
      </c>
      <c r="J105" s="456">
        <v>11.722</v>
      </c>
      <c r="K105" s="617">
        <v>6.5</v>
      </c>
      <c r="L105" s="427">
        <v>2018</v>
      </c>
      <c r="M105" s="427" t="s">
        <v>1148</v>
      </c>
      <c r="N105" s="427" t="s">
        <v>21</v>
      </c>
    </row>
    <row r="106" spans="1:14" ht="18.75" customHeight="1" x14ac:dyDescent="0.25">
      <c r="A106" s="426"/>
      <c r="B106" s="426"/>
      <c r="C106" s="426"/>
      <c r="D106" s="616"/>
      <c r="E106" s="427"/>
      <c r="F106" s="558"/>
      <c r="G106" s="427"/>
      <c r="H106" s="490"/>
      <c r="I106" s="490"/>
      <c r="J106" s="558"/>
      <c r="K106" s="618"/>
      <c r="L106" s="427"/>
      <c r="M106" s="427"/>
      <c r="N106" s="427"/>
    </row>
    <row r="107" spans="1:14" ht="18.75" customHeight="1" x14ac:dyDescent="0.25">
      <c r="A107" s="426"/>
      <c r="B107" s="426"/>
      <c r="C107" s="426"/>
      <c r="D107" s="616"/>
      <c r="E107" s="427"/>
      <c r="F107" s="558"/>
      <c r="G107" s="427"/>
      <c r="H107" s="490"/>
      <c r="I107" s="490"/>
      <c r="J107" s="558"/>
      <c r="K107" s="618"/>
      <c r="L107" s="427"/>
      <c r="M107" s="427"/>
      <c r="N107" s="427"/>
    </row>
    <row r="108" spans="1:14" ht="18.75" customHeight="1" x14ac:dyDescent="0.25">
      <c r="A108" s="426"/>
      <c r="B108" s="426"/>
      <c r="C108" s="426"/>
      <c r="D108" s="616"/>
      <c r="E108" s="427"/>
      <c r="F108" s="558"/>
      <c r="G108" s="427"/>
      <c r="H108" s="490"/>
      <c r="I108" s="490"/>
      <c r="J108" s="558"/>
      <c r="K108" s="618"/>
      <c r="L108" s="427"/>
      <c r="M108" s="427"/>
      <c r="N108" s="427"/>
    </row>
    <row r="109" spans="1:14" ht="18.75" customHeight="1" x14ac:dyDescent="0.25">
      <c r="A109" s="426"/>
      <c r="B109" s="426"/>
      <c r="C109" s="426"/>
      <c r="D109" s="616"/>
      <c r="E109" s="427"/>
      <c r="F109" s="558"/>
      <c r="G109" s="427"/>
      <c r="H109" s="490"/>
      <c r="I109" s="490"/>
      <c r="J109" s="558"/>
      <c r="K109" s="618"/>
      <c r="L109" s="427"/>
      <c r="M109" s="427"/>
      <c r="N109" s="427"/>
    </row>
    <row r="110" spans="1:14" ht="18.75" customHeight="1" x14ac:dyDescent="0.25">
      <c r="A110" s="426"/>
      <c r="B110" s="426"/>
      <c r="C110" s="426"/>
      <c r="D110" s="616"/>
      <c r="E110" s="427"/>
      <c r="F110" s="558"/>
      <c r="G110" s="427"/>
      <c r="H110" s="490"/>
      <c r="I110" s="490"/>
      <c r="J110" s="558"/>
      <c r="K110" s="618"/>
      <c r="L110" s="427"/>
      <c r="M110" s="427"/>
      <c r="N110" s="427"/>
    </row>
    <row r="111" spans="1:14" x14ac:dyDescent="0.25">
      <c r="A111" s="426"/>
      <c r="B111" s="426"/>
      <c r="C111" s="426"/>
      <c r="D111" s="616"/>
      <c r="E111" s="427"/>
      <c r="F111" s="558"/>
      <c r="G111" s="427"/>
      <c r="H111" s="490"/>
      <c r="I111" s="490"/>
      <c r="J111" s="558"/>
      <c r="K111" s="618"/>
      <c r="L111" s="427"/>
      <c r="M111" s="427"/>
      <c r="N111" s="427"/>
    </row>
    <row r="112" spans="1:14" ht="18.75" customHeight="1" x14ac:dyDescent="0.25">
      <c r="A112" s="426"/>
      <c r="B112" s="426"/>
      <c r="C112" s="426"/>
      <c r="D112" s="616"/>
      <c r="E112" s="427"/>
      <c r="F112" s="558"/>
      <c r="G112" s="427"/>
      <c r="H112" s="490"/>
      <c r="I112" s="490"/>
      <c r="J112" s="558"/>
      <c r="K112" s="618"/>
      <c r="L112" s="427"/>
      <c r="M112" s="427"/>
      <c r="N112" s="427"/>
    </row>
    <row r="113" spans="1:14" ht="18.75" customHeight="1" x14ac:dyDescent="0.25">
      <c r="A113" s="426"/>
      <c r="B113" s="426"/>
      <c r="C113" s="426"/>
      <c r="D113" s="615"/>
      <c r="E113" s="427"/>
      <c r="F113" s="457"/>
      <c r="G113" s="427"/>
      <c r="H113" s="433"/>
      <c r="I113" s="433"/>
      <c r="J113" s="457"/>
      <c r="K113" s="619"/>
      <c r="L113" s="427"/>
      <c r="M113" s="427"/>
      <c r="N113" s="427"/>
    </row>
    <row r="114" spans="1:14" ht="19.5" x14ac:dyDescent="0.25">
      <c r="A114" s="108"/>
      <c r="B114" s="431" t="s">
        <v>22</v>
      </c>
      <c r="C114" s="431"/>
      <c r="D114" s="135"/>
      <c r="E114" s="47"/>
      <c r="F114" s="88">
        <f>SUM(F105:F113)</f>
        <v>75</v>
      </c>
      <c r="G114" s="47"/>
      <c r="H114" s="47"/>
      <c r="I114" s="47"/>
      <c r="J114" s="88">
        <f>SUM(J105:J113)</f>
        <v>11.722</v>
      </c>
      <c r="K114" s="106"/>
      <c r="L114" s="47"/>
      <c r="M114" s="101"/>
      <c r="N114" s="101"/>
    </row>
    <row r="115" spans="1:14" ht="37.5" x14ac:dyDescent="0.25">
      <c r="A115" s="108">
        <v>36</v>
      </c>
      <c r="B115" s="108" t="s">
        <v>239</v>
      </c>
      <c r="C115" s="108" t="s">
        <v>237</v>
      </c>
      <c r="D115" s="134" t="s">
        <v>238</v>
      </c>
      <c r="E115" s="101" t="s">
        <v>239</v>
      </c>
      <c r="F115" s="87">
        <v>6.5183999999999997</v>
      </c>
      <c r="G115" s="101" t="s">
        <v>104</v>
      </c>
      <c r="H115" s="101" t="s">
        <v>16</v>
      </c>
      <c r="I115" s="101">
        <v>383423</v>
      </c>
      <c r="J115" s="55">
        <v>6.5182000000000002</v>
      </c>
      <c r="K115" s="108">
        <v>1</v>
      </c>
      <c r="L115" s="101">
        <v>2018</v>
      </c>
      <c r="M115" s="101" t="s">
        <v>20</v>
      </c>
      <c r="N115" s="101" t="s">
        <v>21</v>
      </c>
    </row>
    <row r="116" spans="1:14" ht="19.5" x14ac:dyDescent="0.25">
      <c r="A116" s="108"/>
      <c r="B116" s="431" t="s">
        <v>22</v>
      </c>
      <c r="C116" s="431"/>
      <c r="D116" s="135"/>
      <c r="E116" s="47"/>
      <c r="F116" s="88">
        <f>SUM(F115)</f>
        <v>6.5183999999999997</v>
      </c>
      <c r="G116" s="47"/>
      <c r="H116" s="47"/>
      <c r="I116" s="47"/>
      <c r="J116" s="88">
        <f>SUM(J115)</f>
        <v>6.5182000000000002</v>
      </c>
      <c r="K116" s="106"/>
      <c r="L116" s="47"/>
      <c r="M116" s="101"/>
      <c r="N116" s="101"/>
    </row>
    <row r="117" spans="1:14" x14ac:dyDescent="0.25">
      <c r="A117" s="426">
        <v>37</v>
      </c>
      <c r="B117" s="426" t="s">
        <v>245</v>
      </c>
      <c r="C117" s="426" t="s">
        <v>243</v>
      </c>
      <c r="D117" s="614" t="s">
        <v>249</v>
      </c>
      <c r="E117" s="427" t="s">
        <v>246</v>
      </c>
      <c r="F117" s="456">
        <v>23.367999999999999</v>
      </c>
      <c r="G117" s="427" t="s">
        <v>247</v>
      </c>
      <c r="H117" s="449" t="s">
        <v>16</v>
      </c>
      <c r="I117" s="449">
        <v>286727.59999999998</v>
      </c>
      <c r="J117" s="456">
        <v>4.673</v>
      </c>
      <c r="K117" s="452">
        <v>5</v>
      </c>
      <c r="L117" s="427">
        <v>2018</v>
      </c>
      <c r="M117" s="427" t="s">
        <v>499</v>
      </c>
      <c r="N117" s="427" t="s">
        <v>21</v>
      </c>
    </row>
    <row r="118" spans="1:14" ht="18.75" customHeight="1" x14ac:dyDescent="0.25">
      <c r="A118" s="426"/>
      <c r="B118" s="426"/>
      <c r="C118" s="426"/>
      <c r="D118" s="616"/>
      <c r="E118" s="427"/>
      <c r="F118" s="558"/>
      <c r="G118" s="427"/>
      <c r="H118" s="490"/>
      <c r="I118" s="490"/>
      <c r="J118" s="558"/>
      <c r="K118" s="571"/>
      <c r="L118" s="427"/>
      <c r="M118" s="427"/>
      <c r="N118" s="427"/>
    </row>
    <row r="119" spans="1:14" x14ac:dyDescent="0.25">
      <c r="A119" s="426"/>
      <c r="B119" s="426"/>
      <c r="C119" s="426"/>
      <c r="D119" s="615"/>
      <c r="E119" s="427"/>
      <c r="F119" s="457"/>
      <c r="G119" s="427"/>
      <c r="H119" s="433"/>
      <c r="I119" s="433"/>
      <c r="J119" s="457"/>
      <c r="K119" s="434"/>
      <c r="L119" s="427"/>
      <c r="M119" s="427"/>
      <c r="N119" s="427"/>
    </row>
    <row r="120" spans="1:14" ht="19.5" x14ac:dyDescent="0.25">
      <c r="A120" s="108"/>
      <c r="B120" s="431" t="s">
        <v>22</v>
      </c>
      <c r="C120" s="431"/>
      <c r="D120" s="135"/>
      <c r="E120" s="47"/>
      <c r="F120" s="88">
        <f>SUM(F117:F118)</f>
        <v>23.367999999999999</v>
      </c>
      <c r="G120" s="47"/>
      <c r="H120" s="47"/>
      <c r="I120" s="47"/>
      <c r="J120" s="88">
        <f>SUM(J117:J118)</f>
        <v>4.673</v>
      </c>
      <c r="K120" s="106"/>
      <c r="L120" s="47"/>
      <c r="M120" s="101"/>
      <c r="N120" s="101"/>
    </row>
    <row r="121" spans="1:14" ht="37.5" customHeight="1" x14ac:dyDescent="0.25">
      <c r="A121" s="426">
        <v>38</v>
      </c>
      <c r="B121" s="426" t="s">
        <v>255</v>
      </c>
      <c r="C121" s="426" t="s">
        <v>253</v>
      </c>
      <c r="D121" s="614" t="s">
        <v>254</v>
      </c>
      <c r="E121" s="427" t="s">
        <v>255</v>
      </c>
      <c r="F121" s="456">
        <v>0.433</v>
      </c>
      <c r="G121" s="427" t="s">
        <v>104</v>
      </c>
      <c r="H121" s="449" t="s">
        <v>16</v>
      </c>
      <c r="I121" s="449">
        <v>26765</v>
      </c>
      <c r="J121" s="456">
        <v>0.222</v>
      </c>
      <c r="K121" s="452">
        <v>2</v>
      </c>
      <c r="L121" s="427">
        <v>2018</v>
      </c>
      <c r="M121" s="427" t="s">
        <v>438</v>
      </c>
      <c r="N121" s="427" t="s">
        <v>21</v>
      </c>
    </row>
    <row r="122" spans="1:14" ht="18.75" customHeight="1" x14ac:dyDescent="0.25">
      <c r="A122" s="426"/>
      <c r="B122" s="426"/>
      <c r="C122" s="426"/>
      <c r="D122" s="616"/>
      <c r="E122" s="427"/>
      <c r="F122" s="558"/>
      <c r="G122" s="427"/>
      <c r="H122" s="490"/>
      <c r="I122" s="490"/>
      <c r="J122" s="558"/>
      <c r="K122" s="571"/>
      <c r="L122" s="427"/>
      <c r="M122" s="427"/>
      <c r="N122" s="427"/>
    </row>
    <row r="123" spans="1:14" ht="18.75" customHeight="1" x14ac:dyDescent="0.25">
      <c r="A123" s="426"/>
      <c r="B123" s="426"/>
      <c r="C123" s="426"/>
      <c r="D123" s="616"/>
      <c r="E123" s="427"/>
      <c r="F123" s="558"/>
      <c r="G123" s="427"/>
      <c r="H123" s="490"/>
      <c r="I123" s="490"/>
      <c r="J123" s="558"/>
      <c r="K123" s="571"/>
      <c r="L123" s="427"/>
      <c r="M123" s="427"/>
      <c r="N123" s="427"/>
    </row>
    <row r="124" spans="1:14" ht="18.75" customHeight="1" x14ac:dyDescent="0.25">
      <c r="A124" s="426"/>
      <c r="B124" s="426"/>
      <c r="C124" s="426"/>
      <c r="D124" s="615"/>
      <c r="E124" s="427"/>
      <c r="F124" s="457"/>
      <c r="G124" s="427"/>
      <c r="H124" s="433"/>
      <c r="I124" s="433"/>
      <c r="J124" s="457"/>
      <c r="K124" s="434"/>
      <c r="L124" s="427"/>
      <c r="M124" s="427"/>
      <c r="N124" s="427"/>
    </row>
    <row r="125" spans="1:14" ht="37.5" customHeight="1" x14ac:dyDescent="0.25">
      <c r="A125" s="108"/>
      <c r="B125" s="431" t="s">
        <v>22</v>
      </c>
      <c r="C125" s="431"/>
      <c r="D125" s="135"/>
      <c r="E125" s="47"/>
      <c r="F125" s="88">
        <f>SUM(F121:F124)</f>
        <v>0.433</v>
      </c>
      <c r="G125" s="47"/>
      <c r="H125" s="47"/>
      <c r="I125" s="47"/>
      <c r="J125" s="88">
        <f>SUM(J121:J124)</f>
        <v>0.222</v>
      </c>
      <c r="K125" s="106"/>
      <c r="L125" s="47"/>
      <c r="M125" s="101"/>
      <c r="N125" s="101"/>
    </row>
    <row r="126" spans="1:14" ht="18.75" customHeight="1" x14ac:dyDescent="0.25">
      <c r="A126" s="108">
        <v>39</v>
      </c>
      <c r="B126" s="108" t="s">
        <v>261</v>
      </c>
      <c r="C126" s="108" t="s">
        <v>259</v>
      </c>
      <c r="D126" s="134" t="s">
        <v>260</v>
      </c>
      <c r="E126" s="101" t="s">
        <v>261</v>
      </c>
      <c r="F126" s="87">
        <v>16.344999999999999</v>
      </c>
      <c r="G126" s="101" t="s">
        <v>104</v>
      </c>
      <c r="H126" s="101" t="s">
        <v>16</v>
      </c>
      <c r="I126" s="101">
        <v>873422</v>
      </c>
      <c r="J126" s="87">
        <v>9.7729999999999997</v>
      </c>
      <c r="K126" s="108">
        <v>1.67</v>
      </c>
      <c r="L126" s="101">
        <v>2018</v>
      </c>
      <c r="M126" s="101" t="s">
        <v>43</v>
      </c>
      <c r="N126" s="101" t="s">
        <v>21</v>
      </c>
    </row>
    <row r="127" spans="1:14" ht="19.5" x14ac:dyDescent="0.25">
      <c r="A127" s="108"/>
      <c r="B127" s="431" t="s">
        <v>22</v>
      </c>
      <c r="C127" s="431"/>
      <c r="D127" s="135"/>
      <c r="E127" s="47"/>
      <c r="F127" s="88">
        <v>16.344999999999999</v>
      </c>
      <c r="G127" s="47"/>
      <c r="H127" s="47"/>
      <c r="I127" s="47"/>
      <c r="J127" s="88">
        <f>SUM(J126)</f>
        <v>9.7729999999999997</v>
      </c>
      <c r="K127" s="106"/>
      <c r="L127" s="47"/>
      <c r="M127" s="101"/>
      <c r="N127" s="101"/>
    </row>
    <row r="128" spans="1:14" ht="37.5" x14ac:dyDescent="0.25">
      <c r="A128" s="108">
        <v>40</v>
      </c>
      <c r="B128" s="108" t="s">
        <v>266</v>
      </c>
      <c r="C128" s="108" t="s">
        <v>265</v>
      </c>
      <c r="D128" s="134" t="s">
        <v>238</v>
      </c>
      <c r="E128" s="101" t="s">
        <v>266</v>
      </c>
      <c r="F128" s="87">
        <v>6.3840000000000003</v>
      </c>
      <c r="G128" s="101" t="s">
        <v>104</v>
      </c>
      <c r="H128" s="101" t="s">
        <v>16</v>
      </c>
      <c r="I128" s="101">
        <v>397214</v>
      </c>
      <c r="J128" s="87">
        <v>4.468</v>
      </c>
      <c r="K128" s="108">
        <v>1.4</v>
      </c>
      <c r="L128" s="101">
        <v>2018</v>
      </c>
      <c r="M128" s="101" t="s">
        <v>466</v>
      </c>
      <c r="N128" s="101" t="s">
        <v>21</v>
      </c>
    </row>
    <row r="129" spans="1:14" ht="19.5" x14ac:dyDescent="0.25">
      <c r="A129" s="108"/>
      <c r="B129" s="431" t="s">
        <v>22</v>
      </c>
      <c r="C129" s="431"/>
      <c r="D129" s="135"/>
      <c r="E129" s="47"/>
      <c r="F129" s="88">
        <v>6.3840000000000003</v>
      </c>
      <c r="G129" s="47"/>
      <c r="H129" s="47"/>
      <c r="I129" s="47"/>
      <c r="J129" s="88">
        <f>SUM(J128)</f>
        <v>4.468</v>
      </c>
      <c r="K129" s="106"/>
      <c r="L129" s="47"/>
      <c r="M129" s="101"/>
      <c r="N129" s="101"/>
    </row>
    <row r="130" spans="1:14" ht="37.5" x14ac:dyDescent="0.25">
      <c r="A130" s="108">
        <v>41</v>
      </c>
      <c r="B130" s="108" t="s">
        <v>269</v>
      </c>
      <c r="C130" s="108" t="s">
        <v>267</v>
      </c>
      <c r="D130" s="134" t="s">
        <v>268</v>
      </c>
      <c r="E130" s="101" t="s">
        <v>269</v>
      </c>
      <c r="F130" s="87">
        <v>8.3469999999999995</v>
      </c>
      <c r="G130" s="101" t="s">
        <v>104</v>
      </c>
      <c r="H130" s="101" t="s">
        <v>16</v>
      </c>
      <c r="I130" s="101">
        <v>241875.8</v>
      </c>
      <c r="J130" s="87">
        <v>2.4689999999999999</v>
      </c>
      <c r="K130" s="108">
        <v>3.38</v>
      </c>
      <c r="L130" s="101">
        <v>2018</v>
      </c>
      <c r="M130" s="101" t="s">
        <v>471</v>
      </c>
      <c r="N130" s="101" t="s">
        <v>21</v>
      </c>
    </row>
    <row r="131" spans="1:14" ht="19.5" x14ac:dyDescent="0.25">
      <c r="A131" s="108"/>
      <c r="B131" s="431" t="s">
        <v>22</v>
      </c>
      <c r="C131" s="431"/>
      <c r="D131" s="135"/>
      <c r="E131" s="47"/>
      <c r="F131" s="88">
        <v>8.3469999999999995</v>
      </c>
      <c r="G131" s="47"/>
      <c r="H131" s="47"/>
      <c r="I131" s="47"/>
      <c r="J131" s="88">
        <f>SUM(J130)</f>
        <v>2.4689999999999999</v>
      </c>
      <c r="K131" s="106"/>
      <c r="L131" s="47"/>
      <c r="M131" s="101"/>
      <c r="N131" s="101"/>
    </row>
    <row r="132" spans="1:14" ht="37.5" customHeight="1" x14ac:dyDescent="0.25">
      <c r="A132" s="426">
        <v>42</v>
      </c>
      <c r="B132" s="426" t="s">
        <v>272</v>
      </c>
      <c r="C132" s="426" t="s">
        <v>270</v>
      </c>
      <c r="D132" s="614" t="s">
        <v>271</v>
      </c>
      <c r="E132" s="427" t="s">
        <v>272</v>
      </c>
      <c r="F132" s="456">
        <v>0.17499999999999999</v>
      </c>
      <c r="G132" s="427" t="s">
        <v>104</v>
      </c>
      <c r="H132" s="449" t="s">
        <v>16</v>
      </c>
      <c r="I132" s="449">
        <v>48399</v>
      </c>
      <c r="J132" s="456">
        <v>0.82199999999999995</v>
      </c>
      <c r="K132" s="452">
        <v>0.2</v>
      </c>
      <c r="L132" s="427">
        <v>2018</v>
      </c>
      <c r="M132" s="427" t="s">
        <v>471</v>
      </c>
      <c r="N132" s="427" t="s">
        <v>21</v>
      </c>
    </row>
    <row r="133" spans="1:14" ht="18.75" customHeight="1" x14ac:dyDescent="0.25">
      <c r="A133" s="426"/>
      <c r="B133" s="426"/>
      <c r="C133" s="426"/>
      <c r="D133" s="615"/>
      <c r="E133" s="427"/>
      <c r="F133" s="457"/>
      <c r="G133" s="427"/>
      <c r="H133" s="433"/>
      <c r="I133" s="433"/>
      <c r="J133" s="457"/>
      <c r="K133" s="434"/>
      <c r="L133" s="427"/>
      <c r="M133" s="427"/>
      <c r="N133" s="427"/>
    </row>
    <row r="134" spans="1:14" ht="19.5" x14ac:dyDescent="0.25">
      <c r="A134" s="108"/>
      <c r="B134" s="431" t="s">
        <v>22</v>
      </c>
      <c r="C134" s="431"/>
      <c r="D134" s="135"/>
      <c r="E134" s="47"/>
      <c r="F134" s="88">
        <f>SUM(F132:F133)</f>
        <v>0.17499999999999999</v>
      </c>
      <c r="G134" s="47"/>
      <c r="H134" s="47"/>
      <c r="I134" s="47"/>
      <c r="J134" s="88">
        <f>SUM(J132:J133)</f>
        <v>0.82199999999999995</v>
      </c>
      <c r="K134" s="106"/>
      <c r="L134" s="47"/>
      <c r="M134" s="101"/>
      <c r="N134" s="101"/>
    </row>
    <row r="135" spans="1:14" ht="75" x14ac:dyDescent="0.25">
      <c r="A135" s="426">
        <v>43</v>
      </c>
      <c r="B135" s="426" t="s">
        <v>279</v>
      </c>
      <c r="C135" s="426" t="s">
        <v>277</v>
      </c>
      <c r="D135" s="134" t="s">
        <v>278</v>
      </c>
      <c r="E135" s="427" t="s">
        <v>280</v>
      </c>
      <c r="F135" s="87">
        <v>0.85</v>
      </c>
      <c r="G135" s="427" t="s">
        <v>281</v>
      </c>
      <c r="H135" s="101" t="s">
        <v>37</v>
      </c>
      <c r="I135" s="101">
        <v>34.630000000000003</v>
      </c>
      <c r="J135" s="87">
        <v>0.38800000000000001</v>
      </c>
      <c r="K135" s="108">
        <v>2.1800000000000002</v>
      </c>
      <c r="L135" s="427">
        <v>2018</v>
      </c>
      <c r="M135" s="427" t="s">
        <v>471</v>
      </c>
      <c r="N135" s="427" t="s">
        <v>21</v>
      </c>
    </row>
    <row r="136" spans="1:14" ht="93.75" x14ac:dyDescent="0.25">
      <c r="A136" s="426"/>
      <c r="B136" s="426"/>
      <c r="C136" s="426"/>
      <c r="D136" s="134" t="s">
        <v>282</v>
      </c>
      <c r="E136" s="427"/>
      <c r="F136" s="87">
        <v>0.39</v>
      </c>
      <c r="G136" s="427"/>
      <c r="H136" s="101" t="s">
        <v>283</v>
      </c>
      <c r="I136" s="101">
        <v>6578</v>
      </c>
      <c r="J136" s="87">
        <v>0.19</v>
      </c>
      <c r="K136" s="108">
        <v>2</v>
      </c>
      <c r="L136" s="427"/>
      <c r="M136" s="427"/>
      <c r="N136" s="427"/>
    </row>
    <row r="137" spans="1:14" ht="19.5" x14ac:dyDescent="0.25">
      <c r="A137" s="108"/>
      <c r="B137" s="431" t="s">
        <v>22</v>
      </c>
      <c r="C137" s="431"/>
      <c r="D137" s="135"/>
      <c r="E137" s="47"/>
      <c r="F137" s="88">
        <f>SUM(F135:F136)</f>
        <v>1.24</v>
      </c>
      <c r="G137" s="47"/>
      <c r="H137" s="47"/>
      <c r="I137" s="47"/>
      <c r="J137" s="88">
        <f>SUM(J135:J136)</f>
        <v>0.57800000000000007</v>
      </c>
      <c r="K137" s="106"/>
      <c r="L137" s="47"/>
      <c r="M137" s="101"/>
      <c r="N137" s="101"/>
    </row>
    <row r="138" spans="1:14" ht="37.5" x14ac:dyDescent="0.25">
      <c r="A138" s="108">
        <v>44</v>
      </c>
      <c r="B138" s="108" t="s">
        <v>286</v>
      </c>
      <c r="C138" s="108" t="s">
        <v>284</v>
      </c>
      <c r="D138" s="134" t="s">
        <v>285</v>
      </c>
      <c r="E138" s="101" t="s">
        <v>286</v>
      </c>
      <c r="F138" s="87">
        <v>1.117</v>
      </c>
      <c r="G138" s="101" t="s">
        <v>104</v>
      </c>
      <c r="H138" s="101" t="s">
        <v>16</v>
      </c>
      <c r="I138" s="101">
        <v>44852</v>
      </c>
      <c r="J138" s="87">
        <v>0.82099999999999995</v>
      </c>
      <c r="K138" s="108">
        <v>1.4</v>
      </c>
      <c r="L138" s="101">
        <v>2018</v>
      </c>
      <c r="M138" s="101" t="s">
        <v>20</v>
      </c>
      <c r="N138" s="101" t="s">
        <v>21</v>
      </c>
    </row>
    <row r="139" spans="1:14" ht="19.5" x14ac:dyDescent="0.25">
      <c r="A139" s="108"/>
      <c r="B139" s="431" t="s">
        <v>22</v>
      </c>
      <c r="C139" s="431"/>
      <c r="D139" s="135"/>
      <c r="E139" s="47"/>
      <c r="F139" s="88">
        <v>1.117</v>
      </c>
      <c r="G139" s="47"/>
      <c r="H139" s="47"/>
      <c r="I139" s="47"/>
      <c r="J139" s="88">
        <f>SUM(J138)</f>
        <v>0.82099999999999995</v>
      </c>
      <c r="K139" s="106"/>
      <c r="L139" s="47"/>
      <c r="M139" s="101"/>
      <c r="N139" s="101"/>
    </row>
    <row r="140" spans="1:14" ht="56.25" x14ac:dyDescent="0.25">
      <c r="A140" s="108">
        <v>45</v>
      </c>
      <c r="B140" s="108" t="s">
        <v>295</v>
      </c>
      <c r="C140" s="108" t="s">
        <v>293</v>
      </c>
      <c r="D140" s="134" t="s">
        <v>294</v>
      </c>
      <c r="E140" s="101" t="s">
        <v>296</v>
      </c>
      <c r="F140" s="87">
        <v>1.4</v>
      </c>
      <c r="G140" s="101" t="s">
        <v>297</v>
      </c>
      <c r="H140" s="101" t="s">
        <v>16</v>
      </c>
      <c r="I140" s="101">
        <v>19050</v>
      </c>
      <c r="J140" s="87">
        <v>0.38100000000000001</v>
      </c>
      <c r="K140" s="108">
        <v>4</v>
      </c>
      <c r="L140" s="101">
        <v>2018</v>
      </c>
      <c r="M140" s="101" t="s">
        <v>27</v>
      </c>
      <c r="N140" s="101" t="s">
        <v>21</v>
      </c>
    </row>
    <row r="141" spans="1:14" ht="19.5" x14ac:dyDescent="0.25">
      <c r="A141" s="108"/>
      <c r="B141" s="431" t="s">
        <v>22</v>
      </c>
      <c r="C141" s="431"/>
      <c r="D141" s="135"/>
      <c r="E141" s="47"/>
      <c r="F141" s="88">
        <v>1.4</v>
      </c>
      <c r="G141" s="47"/>
      <c r="H141" s="47"/>
      <c r="I141" s="47"/>
      <c r="J141" s="88">
        <v>0.38100000000000001</v>
      </c>
      <c r="K141" s="106"/>
      <c r="L141" s="47"/>
      <c r="M141" s="101"/>
      <c r="N141" s="101"/>
    </row>
    <row r="142" spans="1:14" x14ac:dyDescent="0.25">
      <c r="A142" s="426">
        <v>46</v>
      </c>
      <c r="B142" s="426" t="s">
        <v>304</v>
      </c>
      <c r="C142" s="426" t="s">
        <v>303</v>
      </c>
      <c r="D142" s="614" t="s">
        <v>294</v>
      </c>
      <c r="E142" s="427" t="s">
        <v>304</v>
      </c>
      <c r="F142" s="456">
        <v>3.2</v>
      </c>
      <c r="G142" s="427" t="s">
        <v>104</v>
      </c>
      <c r="H142" s="449" t="s">
        <v>16</v>
      </c>
      <c r="I142" s="449">
        <v>415464.2</v>
      </c>
      <c r="J142" s="456">
        <v>5.37</v>
      </c>
      <c r="K142" s="452">
        <v>0.6</v>
      </c>
      <c r="L142" s="427">
        <v>2018</v>
      </c>
      <c r="M142" s="427" t="s">
        <v>43</v>
      </c>
      <c r="N142" s="427" t="s">
        <v>21</v>
      </c>
    </row>
    <row r="143" spans="1:14" x14ac:dyDescent="0.25">
      <c r="A143" s="426"/>
      <c r="B143" s="426"/>
      <c r="C143" s="426"/>
      <c r="D143" s="616"/>
      <c r="E143" s="427"/>
      <c r="F143" s="558"/>
      <c r="G143" s="427"/>
      <c r="H143" s="490"/>
      <c r="I143" s="490"/>
      <c r="J143" s="558"/>
      <c r="K143" s="571"/>
      <c r="L143" s="427"/>
      <c r="M143" s="427"/>
      <c r="N143" s="427"/>
    </row>
    <row r="144" spans="1:14" ht="18.75" customHeight="1" x14ac:dyDescent="0.25">
      <c r="A144" s="426"/>
      <c r="B144" s="426"/>
      <c r="C144" s="426"/>
      <c r="D144" s="615"/>
      <c r="E144" s="427"/>
      <c r="F144" s="457"/>
      <c r="G144" s="427"/>
      <c r="H144" s="433"/>
      <c r="I144" s="433"/>
      <c r="J144" s="457"/>
      <c r="K144" s="434"/>
      <c r="L144" s="427"/>
      <c r="M144" s="427"/>
      <c r="N144" s="427"/>
    </row>
    <row r="145" spans="1:14" ht="18.75" customHeight="1" x14ac:dyDescent="0.25">
      <c r="A145" s="108"/>
      <c r="B145" s="431" t="s">
        <v>22</v>
      </c>
      <c r="C145" s="431"/>
      <c r="D145" s="135"/>
      <c r="E145" s="47"/>
      <c r="F145" s="88">
        <f>SUM(F142:F144)</f>
        <v>3.2</v>
      </c>
      <c r="G145" s="47"/>
      <c r="H145" s="47"/>
      <c r="I145" s="47"/>
      <c r="J145" s="88">
        <f>SUM(J142:J144)</f>
        <v>5.37</v>
      </c>
      <c r="K145" s="106"/>
      <c r="L145" s="47"/>
      <c r="M145" s="101"/>
      <c r="N145" s="101"/>
    </row>
    <row r="146" spans="1:14" ht="18.75" customHeight="1" x14ac:dyDescent="0.25">
      <c r="A146" s="109"/>
      <c r="B146" s="109" t="s">
        <v>307</v>
      </c>
      <c r="C146" s="608"/>
      <c r="D146" s="608"/>
      <c r="E146" s="51"/>
      <c r="F146" s="52">
        <f>F99+F104+F114+F116+F120+F125+F127+F129+F131+F134+F137+F139+F141+F145</f>
        <v>208.72239999999996</v>
      </c>
      <c r="G146" s="51"/>
      <c r="H146" s="51"/>
      <c r="I146" s="51"/>
      <c r="J146" s="52">
        <f>J99+J104+J114+J116+J120+J125+J127+J129+J131+J134+J137+J139+J141+J145</f>
        <v>58.516300000000015</v>
      </c>
      <c r="K146" s="109"/>
      <c r="L146" s="51"/>
      <c r="M146" s="51"/>
      <c r="N146" s="51"/>
    </row>
    <row r="147" spans="1:14" ht="93.75" x14ac:dyDescent="0.25">
      <c r="A147" s="108">
        <v>47</v>
      </c>
      <c r="B147" s="108" t="s">
        <v>310</v>
      </c>
      <c r="C147" s="108" t="s">
        <v>308</v>
      </c>
      <c r="D147" s="134" t="s">
        <v>309</v>
      </c>
      <c r="E147" s="101" t="s">
        <v>89</v>
      </c>
      <c r="F147" s="87">
        <v>1784.866925</v>
      </c>
      <c r="G147" s="101" t="s">
        <v>311</v>
      </c>
      <c r="H147" s="101" t="s">
        <v>16</v>
      </c>
      <c r="I147" s="90">
        <v>915975</v>
      </c>
      <c r="J147" s="87">
        <v>16.45091</v>
      </c>
      <c r="K147" s="54">
        <v>5</v>
      </c>
      <c r="L147" s="101">
        <v>2019</v>
      </c>
      <c r="M147" s="101" t="s">
        <v>1064</v>
      </c>
      <c r="N147" s="101" t="s">
        <v>21</v>
      </c>
    </row>
    <row r="148" spans="1:14" ht="19.5" x14ac:dyDescent="0.25">
      <c r="A148" s="108"/>
      <c r="B148" s="431" t="s">
        <v>22</v>
      </c>
      <c r="C148" s="431"/>
      <c r="D148" s="135"/>
      <c r="E148" s="47"/>
      <c r="F148" s="88">
        <f>F147</f>
        <v>1784.866925</v>
      </c>
      <c r="G148" s="47"/>
      <c r="H148" s="47"/>
      <c r="I148" s="56"/>
      <c r="J148" s="88">
        <v>16.45091</v>
      </c>
      <c r="K148" s="57"/>
      <c r="L148" s="47"/>
      <c r="M148" s="101"/>
      <c r="N148" s="101"/>
    </row>
    <row r="149" spans="1:14" ht="93.75" x14ac:dyDescent="0.25">
      <c r="A149" s="108">
        <v>48</v>
      </c>
      <c r="B149" s="108" t="s">
        <v>310</v>
      </c>
      <c r="C149" s="108" t="s">
        <v>308</v>
      </c>
      <c r="D149" s="134" t="s">
        <v>313</v>
      </c>
      <c r="E149" s="101" t="s">
        <v>89</v>
      </c>
      <c r="F149" s="87">
        <v>8779.8707410000006</v>
      </c>
      <c r="G149" s="101" t="s">
        <v>311</v>
      </c>
      <c r="H149" s="101" t="s">
        <v>16</v>
      </c>
      <c r="I149" s="90">
        <v>3717000</v>
      </c>
      <c r="J149" s="87">
        <v>66.757320000000007</v>
      </c>
      <c r="K149" s="54">
        <v>5</v>
      </c>
      <c r="L149" s="101">
        <v>2019</v>
      </c>
      <c r="M149" s="101" t="s">
        <v>1064</v>
      </c>
      <c r="N149" s="101" t="s">
        <v>21</v>
      </c>
    </row>
    <row r="150" spans="1:14" ht="19.5" x14ac:dyDescent="0.25">
      <c r="A150" s="108"/>
      <c r="B150" s="431" t="s">
        <v>22</v>
      </c>
      <c r="C150" s="431"/>
      <c r="D150" s="135"/>
      <c r="E150" s="47"/>
      <c r="F150" s="88">
        <f>F149</f>
        <v>8779.8707410000006</v>
      </c>
      <c r="G150" s="47"/>
      <c r="H150" s="47"/>
      <c r="I150" s="56"/>
      <c r="J150" s="88">
        <v>66.757320000000007</v>
      </c>
      <c r="K150" s="57"/>
      <c r="L150" s="47"/>
      <c r="M150" s="101"/>
      <c r="N150" s="101"/>
    </row>
    <row r="151" spans="1:14" ht="37.5" x14ac:dyDescent="0.25">
      <c r="A151" s="108">
        <v>49</v>
      </c>
      <c r="B151" s="108" t="s">
        <v>1052</v>
      </c>
      <c r="C151" s="108" t="s">
        <v>322</v>
      </c>
      <c r="D151" s="134" t="s">
        <v>323</v>
      </c>
      <c r="E151" s="101" t="s">
        <v>94</v>
      </c>
      <c r="F151" s="87">
        <v>207.80699999999999</v>
      </c>
      <c r="G151" s="101" t="s">
        <v>95</v>
      </c>
      <c r="H151" s="101" t="s">
        <v>16</v>
      </c>
      <c r="I151" s="90">
        <v>7700000</v>
      </c>
      <c r="J151" s="87">
        <v>107</v>
      </c>
      <c r="K151" s="54">
        <v>2</v>
      </c>
      <c r="L151" s="101">
        <v>2019</v>
      </c>
      <c r="M151" s="101" t="s">
        <v>471</v>
      </c>
      <c r="N151" s="101" t="s">
        <v>21</v>
      </c>
    </row>
    <row r="152" spans="1:14" ht="19.5" x14ac:dyDescent="0.25">
      <c r="A152" s="108"/>
      <c r="B152" s="431" t="s">
        <v>22</v>
      </c>
      <c r="C152" s="431"/>
      <c r="D152" s="139"/>
      <c r="E152" s="47"/>
      <c r="F152" s="88">
        <v>207.80699999999999</v>
      </c>
      <c r="G152" s="47"/>
      <c r="H152" s="47"/>
      <c r="I152" s="47"/>
      <c r="J152" s="88">
        <v>107</v>
      </c>
      <c r="K152" s="106"/>
      <c r="L152" s="47"/>
      <c r="M152" s="101"/>
      <c r="N152" s="101"/>
    </row>
    <row r="153" spans="1:14" ht="93.75" x14ac:dyDescent="0.25">
      <c r="A153" s="59">
        <v>50</v>
      </c>
      <c r="B153" s="59" t="s">
        <v>1053</v>
      </c>
      <c r="C153" s="59" t="s">
        <v>324</v>
      </c>
      <c r="D153" s="140" t="s">
        <v>325</v>
      </c>
      <c r="E153" s="60" t="s">
        <v>94</v>
      </c>
      <c r="F153" s="61">
        <v>900.10935199999994</v>
      </c>
      <c r="G153" s="60" t="s">
        <v>95</v>
      </c>
      <c r="H153" s="60" t="s">
        <v>16</v>
      </c>
      <c r="I153" s="62">
        <v>30938012</v>
      </c>
      <c r="J153" s="61">
        <v>275.34830399999998</v>
      </c>
      <c r="K153" s="63">
        <v>3.3</v>
      </c>
      <c r="L153" s="60">
        <v>2019</v>
      </c>
      <c r="M153" s="101" t="s">
        <v>471</v>
      </c>
      <c r="N153" s="101" t="s">
        <v>21</v>
      </c>
    </row>
    <row r="154" spans="1:14" ht="19.5" x14ac:dyDescent="0.25">
      <c r="A154" s="59"/>
      <c r="B154" s="431" t="s">
        <v>22</v>
      </c>
      <c r="C154" s="431"/>
      <c r="D154" s="141"/>
      <c r="E154" s="65"/>
      <c r="F154" s="97">
        <v>900.10935199999994</v>
      </c>
      <c r="G154" s="65"/>
      <c r="H154" s="65"/>
      <c r="I154" s="65"/>
      <c r="J154" s="97">
        <v>275.34830399999998</v>
      </c>
      <c r="K154" s="66"/>
      <c r="L154" s="65"/>
      <c r="M154" s="101"/>
      <c r="N154" s="101"/>
    </row>
    <row r="155" spans="1:14" ht="168.75" x14ac:dyDescent="0.25">
      <c r="A155" s="108">
        <v>51</v>
      </c>
      <c r="B155" s="108" t="s">
        <v>331</v>
      </c>
      <c r="C155" s="110" t="s">
        <v>329</v>
      </c>
      <c r="D155" s="136" t="s">
        <v>330</v>
      </c>
      <c r="E155" s="101" t="s">
        <v>332</v>
      </c>
      <c r="F155" s="67">
        <v>1162.3409999999999</v>
      </c>
      <c r="G155" s="101" t="s">
        <v>333</v>
      </c>
      <c r="H155" s="101" t="s">
        <v>16</v>
      </c>
      <c r="I155" s="107">
        <v>87696</v>
      </c>
      <c r="J155" s="67">
        <v>20.024505000000001</v>
      </c>
      <c r="K155" s="68">
        <v>11</v>
      </c>
      <c r="L155" s="101">
        <v>2019</v>
      </c>
      <c r="M155" s="101" t="s">
        <v>442</v>
      </c>
      <c r="N155" s="101" t="s">
        <v>501</v>
      </c>
    </row>
    <row r="156" spans="1:14" ht="19.5" x14ac:dyDescent="0.25">
      <c r="A156" s="108"/>
      <c r="B156" s="431" t="s">
        <v>22</v>
      </c>
      <c r="C156" s="431"/>
      <c r="D156" s="139"/>
      <c r="E156" s="47"/>
      <c r="F156" s="88">
        <v>1162.3409999999999</v>
      </c>
      <c r="G156" s="47"/>
      <c r="H156" s="47"/>
      <c r="I156" s="47"/>
      <c r="J156" s="88">
        <v>20.024999999999999</v>
      </c>
      <c r="K156" s="106"/>
      <c r="L156" s="47"/>
      <c r="M156" s="101"/>
      <c r="N156" s="101"/>
    </row>
    <row r="157" spans="1:14" ht="168.75" x14ac:dyDescent="0.25">
      <c r="A157" s="108">
        <v>52</v>
      </c>
      <c r="B157" s="108" t="s">
        <v>331</v>
      </c>
      <c r="C157" s="110" t="s">
        <v>334</v>
      </c>
      <c r="D157" s="136" t="s">
        <v>330</v>
      </c>
      <c r="E157" s="101" t="s">
        <v>332</v>
      </c>
      <c r="F157" s="67">
        <v>522.62800000000004</v>
      </c>
      <c r="G157" s="101" t="s">
        <v>333</v>
      </c>
      <c r="H157" s="101" t="s">
        <v>16</v>
      </c>
      <c r="I157" s="107" t="s">
        <v>335</v>
      </c>
      <c r="J157" s="67">
        <v>31.058350000000001</v>
      </c>
      <c r="K157" s="68">
        <v>10</v>
      </c>
      <c r="L157" s="101">
        <v>2019</v>
      </c>
      <c r="M157" s="101" t="s">
        <v>442</v>
      </c>
      <c r="N157" s="101" t="s">
        <v>501</v>
      </c>
    </row>
    <row r="158" spans="1:14" ht="19.5" x14ac:dyDescent="0.25">
      <c r="A158" s="108"/>
      <c r="B158" s="431" t="s">
        <v>22</v>
      </c>
      <c r="C158" s="431"/>
      <c r="D158" s="139"/>
      <c r="E158" s="47"/>
      <c r="F158" s="88">
        <v>522.62800000000004</v>
      </c>
      <c r="G158" s="47"/>
      <c r="H158" s="47"/>
      <c r="I158" s="47"/>
      <c r="J158" s="88">
        <v>31.058</v>
      </c>
      <c r="K158" s="106"/>
      <c r="L158" s="47"/>
      <c r="M158" s="101"/>
      <c r="N158" s="101"/>
    </row>
    <row r="159" spans="1:14" ht="150" x14ac:dyDescent="0.25">
      <c r="A159" s="108">
        <v>53</v>
      </c>
      <c r="B159" s="108" t="s">
        <v>331</v>
      </c>
      <c r="C159" s="110" t="s">
        <v>336</v>
      </c>
      <c r="D159" s="136" t="s">
        <v>337</v>
      </c>
      <c r="E159" s="101" t="s">
        <v>332</v>
      </c>
      <c r="F159" s="67">
        <v>795.95</v>
      </c>
      <c r="G159" s="101" t="s">
        <v>333</v>
      </c>
      <c r="H159" s="101" t="s">
        <v>16</v>
      </c>
      <c r="I159" s="107">
        <v>333337</v>
      </c>
      <c r="J159" s="67">
        <v>76.114170999999999</v>
      </c>
      <c r="K159" s="68">
        <v>10</v>
      </c>
      <c r="L159" s="101">
        <v>2019</v>
      </c>
      <c r="M159" s="101" t="s">
        <v>442</v>
      </c>
      <c r="N159" s="101" t="s">
        <v>501</v>
      </c>
    </row>
    <row r="160" spans="1:14" ht="19.5" x14ac:dyDescent="0.25">
      <c r="A160" s="108"/>
      <c r="B160" s="431" t="s">
        <v>22</v>
      </c>
      <c r="C160" s="431"/>
      <c r="D160" s="139"/>
      <c r="E160" s="47"/>
      <c r="F160" s="88">
        <v>795.95</v>
      </c>
      <c r="G160" s="47"/>
      <c r="H160" s="47"/>
      <c r="I160" s="47"/>
      <c r="J160" s="88">
        <v>76.114000000000004</v>
      </c>
      <c r="K160" s="106"/>
      <c r="L160" s="47"/>
      <c r="M160" s="101"/>
      <c r="N160" s="101"/>
    </row>
    <row r="161" spans="1:14" ht="150" x14ac:dyDescent="0.25">
      <c r="A161" s="108">
        <v>54</v>
      </c>
      <c r="B161" s="108" t="s">
        <v>331</v>
      </c>
      <c r="C161" s="110" t="s">
        <v>338</v>
      </c>
      <c r="D161" s="136" t="s">
        <v>339</v>
      </c>
      <c r="E161" s="101" t="s">
        <v>332</v>
      </c>
      <c r="F161" s="67">
        <v>600.70000000000005</v>
      </c>
      <c r="G161" s="101" t="s">
        <v>333</v>
      </c>
      <c r="H161" s="101" t="s">
        <v>16</v>
      </c>
      <c r="I161" s="107">
        <v>170407</v>
      </c>
      <c r="J161" s="67">
        <v>38.910733999999998</v>
      </c>
      <c r="K161" s="68">
        <v>10</v>
      </c>
      <c r="L161" s="101">
        <v>2019</v>
      </c>
      <c r="M161" s="101" t="s">
        <v>442</v>
      </c>
      <c r="N161" s="101" t="s">
        <v>501</v>
      </c>
    </row>
    <row r="162" spans="1:14" ht="19.5" x14ac:dyDescent="0.25">
      <c r="A162" s="108"/>
      <c r="B162" s="431" t="s">
        <v>22</v>
      </c>
      <c r="C162" s="431"/>
      <c r="D162" s="139"/>
      <c r="E162" s="47"/>
      <c r="F162" s="88">
        <v>600.70000000000005</v>
      </c>
      <c r="G162" s="47"/>
      <c r="H162" s="47"/>
      <c r="I162" s="47"/>
      <c r="J162" s="88">
        <v>38.911000000000001</v>
      </c>
      <c r="K162" s="106"/>
      <c r="L162" s="47"/>
      <c r="M162" s="101"/>
      <c r="N162" s="101"/>
    </row>
    <row r="163" spans="1:14" ht="168.75" x14ac:dyDescent="0.25">
      <c r="A163" s="108">
        <v>55</v>
      </c>
      <c r="B163" s="108" t="s">
        <v>331</v>
      </c>
      <c r="C163" s="110" t="s">
        <v>340</v>
      </c>
      <c r="D163" s="136" t="s">
        <v>341</v>
      </c>
      <c r="E163" s="101" t="s">
        <v>332</v>
      </c>
      <c r="F163" s="67">
        <v>5426.3</v>
      </c>
      <c r="G163" s="101" t="s">
        <v>333</v>
      </c>
      <c r="H163" s="101" t="s">
        <v>16</v>
      </c>
      <c r="I163" s="107">
        <v>87696</v>
      </c>
      <c r="J163" s="67">
        <v>26.863264999999998</v>
      </c>
      <c r="K163" s="68">
        <v>11</v>
      </c>
      <c r="L163" s="101">
        <v>2019</v>
      </c>
      <c r="M163" s="101" t="s">
        <v>442</v>
      </c>
      <c r="N163" s="101" t="s">
        <v>312</v>
      </c>
    </row>
    <row r="164" spans="1:14" ht="19.5" x14ac:dyDescent="0.25">
      <c r="A164" s="108"/>
      <c r="B164" s="431" t="s">
        <v>22</v>
      </c>
      <c r="C164" s="431"/>
      <c r="D164" s="139"/>
      <c r="E164" s="47"/>
      <c r="F164" s="88">
        <v>5426.3</v>
      </c>
      <c r="G164" s="47"/>
      <c r="H164" s="47"/>
      <c r="I164" s="47"/>
      <c r="J164" s="88">
        <v>26.863</v>
      </c>
      <c r="K164" s="106"/>
      <c r="L164" s="47"/>
      <c r="M164" s="101"/>
      <c r="N164" s="101"/>
    </row>
    <row r="165" spans="1:14" ht="56.25" x14ac:dyDescent="0.25">
      <c r="A165" s="108">
        <v>56</v>
      </c>
      <c r="B165" s="108" t="s">
        <v>344</v>
      </c>
      <c r="C165" s="110" t="s">
        <v>342</v>
      </c>
      <c r="D165" s="136" t="s">
        <v>343</v>
      </c>
      <c r="E165" s="101" t="s">
        <v>345</v>
      </c>
      <c r="F165" s="67">
        <v>78.099999999999994</v>
      </c>
      <c r="G165" s="101" t="s">
        <v>346</v>
      </c>
      <c r="H165" s="101" t="s">
        <v>16</v>
      </c>
      <c r="I165" s="69">
        <v>383250</v>
      </c>
      <c r="J165" s="67">
        <v>9.2593200000000007</v>
      </c>
      <c r="K165" s="54">
        <v>8</v>
      </c>
      <c r="L165" s="101">
        <v>2019</v>
      </c>
      <c r="M165" s="101" t="s">
        <v>471</v>
      </c>
      <c r="N165" s="101" t="s">
        <v>21</v>
      </c>
    </row>
    <row r="166" spans="1:14" ht="19.5" x14ac:dyDescent="0.25">
      <c r="A166" s="108"/>
      <c r="B166" s="431" t="s">
        <v>22</v>
      </c>
      <c r="C166" s="431"/>
      <c r="D166" s="135"/>
      <c r="E166" s="47"/>
      <c r="F166" s="88">
        <v>78.099999999999994</v>
      </c>
      <c r="G166" s="47"/>
      <c r="H166" s="47"/>
      <c r="I166" s="47"/>
      <c r="J166" s="88">
        <v>9.2590000000000003</v>
      </c>
      <c r="K166" s="106"/>
      <c r="L166" s="47"/>
      <c r="M166" s="101"/>
      <c r="N166" s="101"/>
    </row>
    <row r="167" spans="1:14" ht="206.25" x14ac:dyDescent="0.25">
      <c r="A167" s="108">
        <v>57</v>
      </c>
      <c r="B167" s="108" t="s">
        <v>317</v>
      </c>
      <c r="C167" s="110" t="s">
        <v>347</v>
      </c>
      <c r="D167" s="136" t="s">
        <v>348</v>
      </c>
      <c r="E167" s="101" t="s">
        <v>318</v>
      </c>
      <c r="F167" s="67">
        <v>37.148000000000003</v>
      </c>
      <c r="G167" s="101" t="s">
        <v>319</v>
      </c>
      <c r="H167" s="107" t="s">
        <v>349</v>
      </c>
      <c r="I167" s="69">
        <v>236072</v>
      </c>
      <c r="J167" s="67">
        <v>5</v>
      </c>
      <c r="K167" s="68">
        <v>3</v>
      </c>
      <c r="L167" s="101">
        <v>2019</v>
      </c>
      <c r="M167" s="101" t="s">
        <v>466</v>
      </c>
      <c r="N167" s="101" t="s">
        <v>21</v>
      </c>
    </row>
    <row r="168" spans="1:14" ht="19.5" x14ac:dyDescent="0.25">
      <c r="A168" s="108"/>
      <c r="B168" s="431" t="s">
        <v>22</v>
      </c>
      <c r="C168" s="431"/>
      <c r="D168" s="135"/>
      <c r="E168" s="47"/>
      <c r="F168" s="88">
        <v>37.148000000000003</v>
      </c>
      <c r="G168" s="47"/>
      <c r="H168" s="47"/>
      <c r="I168" s="47"/>
      <c r="J168" s="88">
        <v>5</v>
      </c>
      <c r="K168" s="106"/>
      <c r="L168" s="47"/>
      <c r="M168" s="101"/>
      <c r="N168" s="101"/>
    </row>
    <row r="169" spans="1:14" ht="131.25" x14ac:dyDescent="0.25">
      <c r="A169" s="108">
        <v>58</v>
      </c>
      <c r="B169" s="108" t="s">
        <v>317</v>
      </c>
      <c r="C169" s="110" t="s">
        <v>350</v>
      </c>
      <c r="D169" s="136" t="s">
        <v>351</v>
      </c>
      <c r="E169" s="101" t="s">
        <v>318</v>
      </c>
      <c r="F169" s="67">
        <v>30.414000000000001</v>
      </c>
      <c r="G169" s="101" t="s">
        <v>319</v>
      </c>
      <c r="H169" s="107" t="s">
        <v>349</v>
      </c>
      <c r="I169" s="107">
        <v>1085930</v>
      </c>
      <c r="J169" s="67">
        <v>23</v>
      </c>
      <c r="K169" s="68">
        <v>3</v>
      </c>
      <c r="L169" s="101">
        <v>2019</v>
      </c>
      <c r="M169" s="101" t="s">
        <v>466</v>
      </c>
      <c r="N169" s="101" t="s">
        <v>21</v>
      </c>
    </row>
    <row r="170" spans="1:14" ht="19.5" x14ac:dyDescent="0.25">
      <c r="A170" s="108"/>
      <c r="B170" s="431" t="s">
        <v>22</v>
      </c>
      <c r="C170" s="431"/>
      <c r="D170" s="135"/>
      <c r="E170" s="47"/>
      <c r="F170" s="88">
        <v>30.414000000000001</v>
      </c>
      <c r="G170" s="47"/>
      <c r="H170" s="47"/>
      <c r="I170" s="47"/>
      <c r="J170" s="88">
        <v>23</v>
      </c>
      <c r="K170" s="106"/>
      <c r="L170" s="47"/>
      <c r="M170" s="101"/>
      <c r="N170" s="101"/>
    </row>
    <row r="171" spans="1:14" ht="56.25" x14ac:dyDescent="0.25">
      <c r="A171" s="108">
        <v>59</v>
      </c>
      <c r="B171" s="108" t="s">
        <v>353</v>
      </c>
      <c r="C171" s="110" t="s">
        <v>352</v>
      </c>
      <c r="D171" s="136" t="s">
        <v>323</v>
      </c>
      <c r="E171" s="101" t="s">
        <v>353</v>
      </c>
      <c r="F171" s="67">
        <v>15.285</v>
      </c>
      <c r="G171" s="101" t="s">
        <v>354</v>
      </c>
      <c r="H171" s="107" t="s">
        <v>16</v>
      </c>
      <c r="I171" s="107">
        <v>125300</v>
      </c>
      <c r="J171" s="67">
        <v>2.2010000000000001</v>
      </c>
      <c r="K171" s="68">
        <v>6.9</v>
      </c>
      <c r="L171" s="101">
        <v>2019</v>
      </c>
      <c r="M171" s="101" t="s">
        <v>1148</v>
      </c>
      <c r="N171" s="101" t="s">
        <v>21</v>
      </c>
    </row>
    <row r="172" spans="1:14" ht="19.5" x14ac:dyDescent="0.25">
      <c r="A172" s="108"/>
      <c r="B172" s="431" t="s">
        <v>22</v>
      </c>
      <c r="C172" s="431"/>
      <c r="D172" s="135"/>
      <c r="E172" s="47"/>
      <c r="F172" s="88">
        <v>15.285</v>
      </c>
      <c r="G172" s="47"/>
      <c r="H172" s="47"/>
      <c r="I172" s="47"/>
      <c r="J172" s="88">
        <v>2.2010000000000001</v>
      </c>
      <c r="K172" s="106"/>
      <c r="L172" s="47"/>
      <c r="M172" s="101"/>
      <c r="N172" s="101"/>
    </row>
    <row r="173" spans="1:14" ht="93.75" x14ac:dyDescent="0.25">
      <c r="A173" s="108">
        <v>60</v>
      </c>
      <c r="B173" s="108" t="s">
        <v>310</v>
      </c>
      <c r="C173" s="110" t="s">
        <v>355</v>
      </c>
      <c r="D173" s="136" t="s">
        <v>356</v>
      </c>
      <c r="E173" s="101" t="s">
        <v>89</v>
      </c>
      <c r="F173" s="67">
        <v>2383.5145600000001</v>
      </c>
      <c r="G173" s="101" t="s">
        <v>311</v>
      </c>
      <c r="H173" s="107" t="s">
        <v>16</v>
      </c>
      <c r="I173" s="107">
        <v>1850200</v>
      </c>
      <c r="J173" s="67">
        <v>33.229591999999997</v>
      </c>
      <c r="K173" s="68">
        <v>6.9</v>
      </c>
      <c r="L173" s="101">
        <v>2019</v>
      </c>
      <c r="M173" s="101" t="s">
        <v>1064</v>
      </c>
      <c r="N173" s="101" t="s">
        <v>21</v>
      </c>
    </row>
    <row r="174" spans="1:14" ht="19.5" x14ac:dyDescent="0.25">
      <c r="A174" s="108"/>
      <c r="B174" s="431" t="s">
        <v>22</v>
      </c>
      <c r="C174" s="431"/>
      <c r="D174" s="135"/>
      <c r="E174" s="47"/>
      <c r="F174" s="88">
        <v>2383.5145600000001</v>
      </c>
      <c r="G174" s="47"/>
      <c r="H174" s="47"/>
      <c r="I174" s="47"/>
      <c r="J174" s="88">
        <v>33.229591999999997</v>
      </c>
      <c r="K174" s="106"/>
      <c r="L174" s="47"/>
      <c r="M174" s="101"/>
      <c r="N174" s="101"/>
    </row>
    <row r="175" spans="1:14" ht="93.75" x14ac:dyDescent="0.25">
      <c r="A175" s="108">
        <v>61</v>
      </c>
      <c r="B175" s="108" t="s">
        <v>363</v>
      </c>
      <c r="C175" s="110" t="s">
        <v>361</v>
      </c>
      <c r="D175" s="136" t="s">
        <v>362</v>
      </c>
      <c r="E175" s="101" t="s">
        <v>364</v>
      </c>
      <c r="F175" s="67">
        <v>12576</v>
      </c>
      <c r="G175" s="101" t="s">
        <v>365</v>
      </c>
      <c r="H175" s="70" t="s">
        <v>16</v>
      </c>
      <c r="I175" s="71">
        <v>0.15</v>
      </c>
      <c r="J175" s="72">
        <v>0</v>
      </c>
      <c r="K175" s="68"/>
      <c r="L175" s="101">
        <v>2019</v>
      </c>
      <c r="M175" s="101" t="s">
        <v>27</v>
      </c>
      <c r="N175" s="101" t="s">
        <v>21</v>
      </c>
    </row>
    <row r="176" spans="1:14" ht="19.5" x14ac:dyDescent="0.25">
      <c r="A176" s="108"/>
      <c r="B176" s="431" t="s">
        <v>22</v>
      </c>
      <c r="C176" s="431"/>
      <c r="D176" s="135"/>
      <c r="E176" s="47"/>
      <c r="F176" s="98">
        <v>12576</v>
      </c>
      <c r="G176" s="47"/>
      <c r="H176" s="47"/>
      <c r="I176" s="47"/>
      <c r="J176" s="88">
        <v>0</v>
      </c>
      <c r="K176" s="106"/>
      <c r="L176" s="47"/>
      <c r="M176" s="101"/>
      <c r="N176" s="101"/>
    </row>
    <row r="177" spans="1:14" ht="75" x14ac:dyDescent="0.25">
      <c r="A177" s="110">
        <v>62</v>
      </c>
      <c r="B177" s="103" t="s">
        <v>405</v>
      </c>
      <c r="C177" s="110" t="s">
        <v>403</v>
      </c>
      <c r="D177" s="136" t="s">
        <v>404</v>
      </c>
      <c r="E177" s="107" t="s">
        <v>406</v>
      </c>
      <c r="F177" s="67">
        <v>12.9</v>
      </c>
      <c r="G177" s="107" t="s">
        <v>407</v>
      </c>
      <c r="H177" s="74" t="s">
        <v>16</v>
      </c>
      <c r="I177" s="74">
        <v>30905</v>
      </c>
      <c r="J177" s="74">
        <v>0.55600000000000005</v>
      </c>
      <c r="K177" s="110">
        <v>5</v>
      </c>
      <c r="L177" s="107">
        <v>2019</v>
      </c>
      <c r="M177" s="101" t="s">
        <v>1068</v>
      </c>
      <c r="N177" s="101" t="s">
        <v>21</v>
      </c>
    </row>
    <row r="178" spans="1:14" ht="19.5" x14ac:dyDescent="0.25">
      <c r="A178" s="108"/>
      <c r="B178" s="431" t="s">
        <v>22</v>
      </c>
      <c r="C178" s="431"/>
      <c r="D178" s="135"/>
      <c r="E178" s="47"/>
      <c r="F178" s="88">
        <v>12.9</v>
      </c>
      <c r="G178" s="47"/>
      <c r="H178" s="47"/>
      <c r="I178" s="47"/>
      <c r="J178" s="98">
        <v>0.55600000000000005</v>
      </c>
      <c r="K178" s="106"/>
      <c r="L178" s="47"/>
      <c r="M178" s="101"/>
      <c r="N178" s="101"/>
    </row>
    <row r="179" spans="1:14" ht="93.75" x14ac:dyDescent="0.25">
      <c r="A179" s="110">
        <v>63</v>
      </c>
      <c r="B179" s="103" t="s">
        <v>405</v>
      </c>
      <c r="C179" s="110" t="s">
        <v>408</v>
      </c>
      <c r="D179" s="136" t="s">
        <v>409</v>
      </c>
      <c r="E179" s="107" t="s">
        <v>410</v>
      </c>
      <c r="F179" s="67">
        <v>31.190999999999999</v>
      </c>
      <c r="G179" s="107" t="s">
        <v>411</v>
      </c>
      <c r="H179" s="74" t="s">
        <v>16</v>
      </c>
      <c r="I179" s="74">
        <v>572090</v>
      </c>
      <c r="J179" s="74">
        <v>10.297000000000001</v>
      </c>
      <c r="K179" s="110">
        <v>15</v>
      </c>
      <c r="L179" s="107">
        <v>2019</v>
      </c>
      <c r="M179" s="101" t="s">
        <v>1068</v>
      </c>
      <c r="N179" s="101" t="s">
        <v>21</v>
      </c>
    </row>
    <row r="180" spans="1:14" ht="19.5" x14ac:dyDescent="0.25">
      <c r="A180" s="108"/>
      <c r="B180" s="431" t="s">
        <v>22</v>
      </c>
      <c r="C180" s="431"/>
      <c r="D180" s="135"/>
      <c r="E180" s="47"/>
      <c r="F180" s="88">
        <v>31.190999999999999</v>
      </c>
      <c r="G180" s="47"/>
      <c r="H180" s="47"/>
      <c r="I180" s="47"/>
      <c r="J180" s="98">
        <v>10.297000000000001</v>
      </c>
      <c r="K180" s="106"/>
      <c r="L180" s="47"/>
      <c r="M180" s="101"/>
      <c r="N180" s="101"/>
    </row>
    <row r="181" spans="1:14" ht="37.5" x14ac:dyDescent="0.25">
      <c r="A181" s="426">
        <v>64</v>
      </c>
      <c r="B181" s="430" t="s">
        <v>414</v>
      </c>
      <c r="C181" s="620" t="s">
        <v>412</v>
      </c>
      <c r="D181" s="142" t="s">
        <v>92</v>
      </c>
      <c r="E181" s="443" t="s">
        <v>412</v>
      </c>
      <c r="F181" s="75">
        <v>1.3</v>
      </c>
      <c r="G181" s="443" t="s">
        <v>415</v>
      </c>
      <c r="H181" s="76" t="s">
        <v>413</v>
      </c>
      <c r="I181" s="77">
        <v>2.5</v>
      </c>
      <c r="J181" s="78">
        <v>0.5</v>
      </c>
      <c r="K181" s="68"/>
      <c r="L181" s="443">
        <v>2019</v>
      </c>
      <c r="M181" s="427" t="s">
        <v>471</v>
      </c>
      <c r="N181" s="427" t="s">
        <v>21</v>
      </c>
    </row>
    <row r="182" spans="1:14" ht="37.5" x14ac:dyDescent="0.25">
      <c r="A182" s="426"/>
      <c r="B182" s="430"/>
      <c r="C182" s="620"/>
      <c r="D182" s="142" t="s">
        <v>416</v>
      </c>
      <c r="E182" s="443"/>
      <c r="F182" s="75">
        <v>0.2</v>
      </c>
      <c r="G182" s="443"/>
      <c r="H182" s="79" t="s">
        <v>417</v>
      </c>
      <c r="I182" s="80">
        <v>0.06</v>
      </c>
      <c r="J182" s="75">
        <v>3.5</v>
      </c>
      <c r="K182" s="68"/>
      <c r="L182" s="443"/>
      <c r="M182" s="427"/>
      <c r="N182" s="427"/>
    </row>
    <row r="183" spans="1:14" x14ac:dyDescent="0.25">
      <c r="A183" s="426"/>
      <c r="B183" s="430"/>
      <c r="C183" s="620"/>
      <c r="D183" s="631" t="s">
        <v>418</v>
      </c>
      <c r="E183" s="443"/>
      <c r="F183" s="624">
        <v>0.5</v>
      </c>
      <c r="G183" s="443"/>
      <c r="H183" s="628" t="s">
        <v>419</v>
      </c>
      <c r="I183" s="441">
        <v>3.5</v>
      </c>
      <c r="J183" s="624">
        <v>0.15</v>
      </c>
      <c r="K183" s="621"/>
      <c r="L183" s="443"/>
      <c r="M183" s="427"/>
      <c r="N183" s="427"/>
    </row>
    <row r="184" spans="1:14" x14ac:dyDescent="0.25">
      <c r="A184" s="426"/>
      <c r="B184" s="430"/>
      <c r="C184" s="620"/>
      <c r="D184" s="632"/>
      <c r="E184" s="443"/>
      <c r="F184" s="625"/>
      <c r="G184" s="443"/>
      <c r="H184" s="629"/>
      <c r="I184" s="627"/>
      <c r="J184" s="625"/>
      <c r="K184" s="622"/>
      <c r="L184" s="443"/>
      <c r="M184" s="427"/>
      <c r="N184" s="427"/>
    </row>
    <row r="185" spans="1:14" x14ac:dyDescent="0.25">
      <c r="A185" s="426"/>
      <c r="B185" s="430"/>
      <c r="C185" s="620"/>
      <c r="D185" s="632"/>
      <c r="E185" s="443"/>
      <c r="F185" s="625"/>
      <c r="G185" s="443"/>
      <c r="H185" s="629"/>
      <c r="I185" s="627"/>
      <c r="J185" s="625"/>
      <c r="K185" s="622"/>
      <c r="L185" s="443"/>
      <c r="M185" s="427"/>
      <c r="N185" s="427"/>
    </row>
    <row r="186" spans="1:14" x14ac:dyDescent="0.25">
      <c r="A186" s="426"/>
      <c r="B186" s="430"/>
      <c r="C186" s="620"/>
      <c r="D186" s="633"/>
      <c r="E186" s="443"/>
      <c r="F186" s="626"/>
      <c r="G186" s="443"/>
      <c r="H186" s="630"/>
      <c r="I186" s="442"/>
      <c r="J186" s="626"/>
      <c r="K186" s="623"/>
      <c r="L186" s="443"/>
      <c r="M186" s="427"/>
      <c r="N186" s="427"/>
    </row>
    <row r="187" spans="1:14" ht="37.5" customHeight="1" x14ac:dyDescent="0.25">
      <c r="A187" s="108"/>
      <c r="B187" s="431" t="s">
        <v>22</v>
      </c>
      <c r="C187" s="431"/>
      <c r="D187" s="135"/>
      <c r="E187" s="47"/>
      <c r="F187" s="88">
        <f>SUM(F181:F186)</f>
        <v>2</v>
      </c>
      <c r="G187" s="47"/>
      <c r="H187" s="48"/>
      <c r="I187" s="48"/>
      <c r="J187" s="88">
        <f>SUM(J181:J186)</f>
        <v>4.1500000000000004</v>
      </c>
      <c r="K187" s="106"/>
      <c r="L187" s="47"/>
      <c r="M187" s="101"/>
      <c r="N187" s="101"/>
    </row>
    <row r="188" spans="1:14" ht="18.75" customHeight="1" x14ac:dyDescent="0.25">
      <c r="A188" s="109"/>
      <c r="B188" s="109" t="s">
        <v>426</v>
      </c>
      <c r="C188" s="608"/>
      <c r="D188" s="608"/>
      <c r="E188" s="51"/>
      <c r="F188" s="52">
        <f>F148+F150+F152+F154+F156+F158+F160+F162+F164+F166+F168+F170+F172+F174+F176+F178+F180+F187</f>
        <v>35347.125578000006</v>
      </c>
      <c r="G188" s="51"/>
      <c r="H188" s="52"/>
      <c r="I188" s="52"/>
      <c r="J188" s="52">
        <f>J148+J150+J152+J154+J156+J158+J160+J162+J164+J166+J168+J170+J172+J174+J176+J178+J180+J187</f>
        <v>746.22012600000016</v>
      </c>
      <c r="K188" s="109"/>
      <c r="L188" s="51"/>
      <c r="M188" s="51"/>
      <c r="N188" s="51"/>
    </row>
    <row r="189" spans="1:14" ht="18.75" customHeight="1" x14ac:dyDescent="0.25">
      <c r="A189" s="108">
        <v>65</v>
      </c>
      <c r="B189" s="108" t="s">
        <v>435</v>
      </c>
      <c r="C189" s="108" t="s">
        <v>457</v>
      </c>
      <c r="D189" s="134" t="s">
        <v>430</v>
      </c>
      <c r="E189" s="101" t="s">
        <v>447</v>
      </c>
      <c r="F189" s="81">
        <f>2950000/1000</f>
        <v>2950</v>
      </c>
      <c r="G189" s="101" t="s">
        <v>1047</v>
      </c>
      <c r="H189" s="82" t="s">
        <v>429</v>
      </c>
      <c r="I189" s="83">
        <v>9554833</v>
      </c>
      <c r="J189" s="81">
        <v>138.43</v>
      </c>
      <c r="K189" s="108">
        <v>15</v>
      </c>
      <c r="L189" s="101">
        <v>2020</v>
      </c>
      <c r="M189" s="101" t="s">
        <v>43</v>
      </c>
      <c r="N189" s="101" t="s">
        <v>312</v>
      </c>
    </row>
    <row r="190" spans="1:14" ht="18.75" customHeight="1" x14ac:dyDescent="0.25">
      <c r="A190" s="108"/>
      <c r="B190" s="431" t="s">
        <v>22</v>
      </c>
      <c r="C190" s="431"/>
      <c r="D190" s="134"/>
      <c r="E190" s="101"/>
      <c r="F190" s="94">
        <f>F189</f>
        <v>2950</v>
      </c>
      <c r="G190" s="101"/>
      <c r="H190" s="101"/>
      <c r="I190" s="101"/>
      <c r="J190" s="94">
        <f>J189</f>
        <v>138.43</v>
      </c>
      <c r="K190" s="108"/>
      <c r="L190" s="101"/>
      <c r="M190" s="101"/>
      <c r="N190" s="101"/>
    </row>
    <row r="191" spans="1:14" ht="112.5" x14ac:dyDescent="0.25">
      <c r="A191" s="108">
        <v>66</v>
      </c>
      <c r="B191" s="108" t="s">
        <v>435</v>
      </c>
      <c r="C191" s="108" t="s">
        <v>458</v>
      </c>
      <c r="D191" s="134" t="s">
        <v>430</v>
      </c>
      <c r="E191" s="101" t="s">
        <v>447</v>
      </c>
      <c r="F191" s="81">
        <f>1850000/1000</f>
        <v>1850</v>
      </c>
      <c r="G191" s="101" t="s">
        <v>1048</v>
      </c>
      <c r="H191" s="82" t="s">
        <v>429</v>
      </c>
      <c r="I191" s="83">
        <v>5001398</v>
      </c>
      <c r="J191" s="81">
        <v>72.459999999999994</v>
      </c>
      <c r="K191" s="108">
        <v>15</v>
      </c>
      <c r="L191" s="101">
        <v>2020</v>
      </c>
      <c r="M191" s="101" t="s">
        <v>43</v>
      </c>
      <c r="N191" s="101" t="s">
        <v>312</v>
      </c>
    </row>
    <row r="192" spans="1:14" ht="19.5" x14ac:dyDescent="0.25">
      <c r="A192" s="108"/>
      <c r="B192" s="431" t="s">
        <v>22</v>
      </c>
      <c r="C192" s="431"/>
      <c r="D192" s="134"/>
      <c r="E192" s="101"/>
      <c r="F192" s="94">
        <f>F191</f>
        <v>1850</v>
      </c>
      <c r="G192" s="101"/>
      <c r="H192" s="101"/>
      <c r="I192" s="101"/>
      <c r="J192" s="94">
        <f>J191</f>
        <v>72.459999999999994</v>
      </c>
      <c r="K192" s="108"/>
      <c r="L192" s="101"/>
      <c r="M192" s="101"/>
      <c r="N192" s="101"/>
    </row>
    <row r="193" spans="1:14" ht="37.5" x14ac:dyDescent="0.25">
      <c r="A193" s="108">
        <v>67</v>
      </c>
      <c r="B193" s="108" t="s">
        <v>433</v>
      </c>
      <c r="C193" s="91" t="s">
        <v>238</v>
      </c>
      <c r="D193" s="142" t="s">
        <v>130</v>
      </c>
      <c r="E193" s="101" t="s">
        <v>433</v>
      </c>
      <c r="F193" s="102">
        <v>10.15</v>
      </c>
      <c r="G193" s="101" t="s">
        <v>104</v>
      </c>
      <c r="H193" s="101" t="s">
        <v>434</v>
      </c>
      <c r="I193" s="101">
        <v>109.62</v>
      </c>
      <c r="J193" s="102">
        <v>1.5149999999999999</v>
      </c>
      <c r="K193" s="108">
        <v>4.3</v>
      </c>
      <c r="L193" s="101">
        <v>2019</v>
      </c>
      <c r="M193" s="101" t="s">
        <v>43</v>
      </c>
      <c r="N193" s="101" t="s">
        <v>21</v>
      </c>
    </row>
    <row r="194" spans="1:14" ht="19.5" x14ac:dyDescent="0.25">
      <c r="A194" s="108"/>
      <c r="B194" s="431" t="s">
        <v>22</v>
      </c>
      <c r="C194" s="431"/>
      <c r="D194" s="134"/>
      <c r="E194" s="101"/>
      <c r="F194" s="37">
        <f>F193</f>
        <v>10.15</v>
      </c>
      <c r="G194" s="101"/>
      <c r="H194" s="101"/>
      <c r="I194" s="101"/>
      <c r="J194" s="37">
        <f>J193</f>
        <v>1.5149999999999999</v>
      </c>
      <c r="K194" s="108"/>
      <c r="L194" s="101"/>
      <c r="M194" s="101"/>
      <c r="N194" s="101"/>
    </row>
    <row r="195" spans="1:14" ht="56.25" x14ac:dyDescent="0.25">
      <c r="A195" s="108">
        <v>68</v>
      </c>
      <c r="B195" s="108" t="s">
        <v>437</v>
      </c>
      <c r="C195" s="91" t="s">
        <v>436</v>
      </c>
      <c r="D195" s="142" t="s">
        <v>130</v>
      </c>
      <c r="E195" s="101" t="s">
        <v>437</v>
      </c>
      <c r="F195" s="102">
        <v>1.8049999999999999</v>
      </c>
      <c r="G195" s="101" t="s">
        <v>104</v>
      </c>
      <c r="H195" s="101" t="s">
        <v>456</v>
      </c>
      <c r="I195" s="101">
        <v>107060</v>
      </c>
      <c r="J195" s="102">
        <v>0.888598</v>
      </c>
      <c r="K195" s="108">
        <v>2</v>
      </c>
      <c r="L195" s="101">
        <v>2020</v>
      </c>
      <c r="M195" s="101" t="s">
        <v>438</v>
      </c>
      <c r="N195" s="101" t="s">
        <v>21</v>
      </c>
    </row>
    <row r="196" spans="1:14" ht="19.5" x14ac:dyDescent="0.25">
      <c r="A196" s="108"/>
      <c r="B196" s="431" t="s">
        <v>22</v>
      </c>
      <c r="C196" s="431"/>
      <c r="D196" s="134"/>
      <c r="E196" s="101"/>
      <c r="F196" s="37">
        <f>F195</f>
        <v>1.8049999999999999</v>
      </c>
      <c r="G196" s="101"/>
      <c r="H196" s="101"/>
      <c r="I196" s="101"/>
      <c r="J196" s="37">
        <f>J195</f>
        <v>0.888598</v>
      </c>
      <c r="K196" s="108"/>
      <c r="L196" s="101"/>
      <c r="M196" s="101"/>
      <c r="N196" s="101"/>
    </row>
    <row r="197" spans="1:14" ht="37.5" x14ac:dyDescent="0.25">
      <c r="A197" s="108">
        <v>69</v>
      </c>
      <c r="B197" s="108" t="s">
        <v>440</v>
      </c>
      <c r="C197" s="91" t="s">
        <v>92</v>
      </c>
      <c r="D197" s="142" t="s">
        <v>130</v>
      </c>
      <c r="E197" s="101" t="s">
        <v>440</v>
      </c>
      <c r="F197" s="102">
        <v>5.78</v>
      </c>
      <c r="G197" s="101" t="s">
        <v>104</v>
      </c>
      <c r="H197" s="101" t="s">
        <v>456</v>
      </c>
      <c r="I197" s="101">
        <v>46.298000000000002</v>
      </c>
      <c r="J197" s="102">
        <v>0.73614100000000005</v>
      </c>
      <c r="K197" s="108">
        <v>7.8</v>
      </c>
      <c r="L197" s="101">
        <v>2020</v>
      </c>
      <c r="M197" s="101" t="s">
        <v>442</v>
      </c>
      <c r="N197" s="101" t="s">
        <v>21</v>
      </c>
    </row>
    <row r="198" spans="1:14" ht="19.5" x14ac:dyDescent="0.25">
      <c r="A198" s="108"/>
      <c r="B198" s="431" t="s">
        <v>22</v>
      </c>
      <c r="C198" s="431"/>
      <c r="D198" s="134"/>
      <c r="E198" s="101"/>
      <c r="F198" s="37">
        <f>F197</f>
        <v>5.78</v>
      </c>
      <c r="G198" s="101"/>
      <c r="H198" s="101"/>
      <c r="I198" s="101"/>
      <c r="J198" s="37">
        <f>J197</f>
        <v>0.73614100000000005</v>
      </c>
      <c r="K198" s="108"/>
      <c r="L198" s="101"/>
      <c r="M198" s="101"/>
      <c r="N198" s="101"/>
    </row>
    <row r="199" spans="1:14" ht="37.5" x14ac:dyDescent="0.25">
      <c r="A199" s="426">
        <v>70</v>
      </c>
      <c r="B199" s="426" t="s">
        <v>444</v>
      </c>
      <c r="C199" s="551" t="s">
        <v>92</v>
      </c>
      <c r="D199" s="142" t="s">
        <v>416</v>
      </c>
      <c r="E199" s="427" t="s">
        <v>444</v>
      </c>
      <c r="F199" s="84">
        <f>1320/1000</f>
        <v>1.32</v>
      </c>
      <c r="G199" s="427" t="s">
        <v>104</v>
      </c>
      <c r="H199" s="101" t="s">
        <v>456</v>
      </c>
      <c r="I199" s="90">
        <v>58086</v>
      </c>
      <c r="J199" s="102">
        <f>232.344/1000</f>
        <v>0.23234399999999999</v>
      </c>
      <c r="K199" s="426">
        <v>7.8</v>
      </c>
      <c r="L199" s="427">
        <v>2020</v>
      </c>
      <c r="M199" s="427" t="s">
        <v>446</v>
      </c>
      <c r="N199" s="427" t="s">
        <v>21</v>
      </c>
    </row>
    <row r="200" spans="1:14" ht="37.5" x14ac:dyDescent="0.25">
      <c r="A200" s="426"/>
      <c r="B200" s="426"/>
      <c r="C200" s="551"/>
      <c r="D200" s="142" t="s">
        <v>445</v>
      </c>
      <c r="E200" s="427"/>
      <c r="F200" s="84">
        <f>2000/1000</f>
        <v>2</v>
      </c>
      <c r="G200" s="427"/>
      <c r="H200" s="101" t="s">
        <v>456</v>
      </c>
      <c r="I200" s="90">
        <v>8898</v>
      </c>
      <c r="J200" s="85">
        <f>35.592/1000</f>
        <v>3.5591999999999999E-2</v>
      </c>
      <c r="K200" s="426"/>
      <c r="L200" s="427"/>
      <c r="M200" s="427"/>
      <c r="N200" s="427"/>
    </row>
    <row r="201" spans="1:14" ht="19.5" x14ac:dyDescent="0.25">
      <c r="A201" s="108"/>
      <c r="B201" s="431" t="s">
        <v>22</v>
      </c>
      <c r="C201" s="431"/>
      <c r="D201" s="134"/>
      <c r="E201" s="101"/>
      <c r="F201" s="37">
        <f>F199+F200</f>
        <v>3.3200000000000003</v>
      </c>
      <c r="G201" s="101"/>
      <c r="H201" s="101"/>
      <c r="I201" s="101"/>
      <c r="J201" s="37">
        <f>J199+J200</f>
        <v>0.26793600000000001</v>
      </c>
      <c r="K201" s="86">
        <f>F201+F204</f>
        <v>148.46899999999999</v>
      </c>
      <c r="L201" s="101"/>
      <c r="M201" s="101"/>
      <c r="N201" s="101"/>
    </row>
    <row r="202" spans="1:14" ht="37.5" x14ac:dyDescent="0.25">
      <c r="A202" s="426">
        <v>71</v>
      </c>
      <c r="B202" s="426" t="s">
        <v>449</v>
      </c>
      <c r="C202" s="551" t="s">
        <v>451</v>
      </c>
      <c r="D202" s="142" t="s">
        <v>448</v>
      </c>
      <c r="E202" s="427" t="s">
        <v>449</v>
      </c>
      <c r="F202" s="102">
        <f>62461/1000</f>
        <v>62.460999999999999</v>
      </c>
      <c r="G202" s="427" t="s">
        <v>104</v>
      </c>
      <c r="H202" s="101" t="s">
        <v>456</v>
      </c>
      <c r="I202" s="90">
        <v>1153.268</v>
      </c>
      <c r="J202" s="102">
        <f>4613.072/1000</f>
        <v>4.6130719999999998</v>
      </c>
      <c r="K202" s="108">
        <v>13.54</v>
      </c>
      <c r="L202" s="427">
        <v>2020</v>
      </c>
      <c r="M202" s="427" t="s">
        <v>446</v>
      </c>
      <c r="N202" s="427" t="s">
        <v>21</v>
      </c>
    </row>
    <row r="203" spans="1:14" ht="37.5" x14ac:dyDescent="0.25">
      <c r="A203" s="426"/>
      <c r="B203" s="426"/>
      <c r="C203" s="551"/>
      <c r="D203" s="142" t="s">
        <v>450</v>
      </c>
      <c r="E203" s="427"/>
      <c r="F203" s="102">
        <f>82688/1000</f>
        <v>82.688000000000002</v>
      </c>
      <c r="G203" s="427"/>
      <c r="H203" s="101" t="s">
        <v>456</v>
      </c>
      <c r="I203" s="90">
        <v>3224.96</v>
      </c>
      <c r="J203" s="102">
        <v>12.899850000000001</v>
      </c>
      <c r="K203" s="108">
        <v>6.5</v>
      </c>
      <c r="L203" s="427"/>
      <c r="M203" s="427"/>
      <c r="N203" s="427"/>
    </row>
    <row r="204" spans="1:14" ht="19.5" x14ac:dyDescent="0.25">
      <c r="A204" s="108"/>
      <c r="B204" s="431" t="s">
        <v>22</v>
      </c>
      <c r="C204" s="431"/>
      <c r="D204" s="134"/>
      <c r="E204" s="101"/>
      <c r="F204" s="37">
        <f>F202+F203</f>
        <v>145.149</v>
      </c>
      <c r="G204" s="101"/>
      <c r="H204" s="101"/>
      <c r="I204" s="101"/>
      <c r="J204" s="37">
        <f>J202+J203</f>
        <v>17.512922</v>
      </c>
      <c r="K204" s="108"/>
      <c r="L204" s="101"/>
      <c r="M204" s="101"/>
      <c r="N204" s="101"/>
    </row>
    <row r="205" spans="1:14" ht="75" x14ac:dyDescent="0.25">
      <c r="A205" s="108">
        <v>72</v>
      </c>
      <c r="B205" s="108" t="s">
        <v>453</v>
      </c>
      <c r="C205" s="108" t="s">
        <v>452</v>
      </c>
      <c r="D205" s="134" t="s">
        <v>452</v>
      </c>
      <c r="E205" s="101" t="s">
        <v>455</v>
      </c>
      <c r="F205" s="102">
        <f>3113084/1000</f>
        <v>3113.0839999999998</v>
      </c>
      <c r="G205" s="101" t="s">
        <v>427</v>
      </c>
      <c r="H205" s="101" t="s">
        <v>456</v>
      </c>
      <c r="I205" s="90">
        <v>5543452</v>
      </c>
      <c r="J205" s="102">
        <f>157217/1000</f>
        <v>157.21700000000001</v>
      </c>
      <c r="K205" s="108">
        <v>5</v>
      </c>
      <c r="L205" s="101">
        <v>2020</v>
      </c>
      <c r="M205" s="101" t="s">
        <v>454</v>
      </c>
      <c r="N205" s="101" t="s">
        <v>312</v>
      </c>
    </row>
    <row r="206" spans="1:14" ht="19.5" x14ac:dyDescent="0.25">
      <c r="A206" s="108"/>
      <c r="B206" s="431" t="s">
        <v>22</v>
      </c>
      <c r="C206" s="431"/>
      <c r="D206" s="134"/>
      <c r="E206" s="101"/>
      <c r="F206" s="37">
        <f>F205</f>
        <v>3113.0839999999998</v>
      </c>
      <c r="G206" s="101"/>
      <c r="H206" s="101"/>
      <c r="I206" s="101"/>
      <c r="J206" s="37">
        <f>J205</f>
        <v>157.21700000000001</v>
      </c>
      <c r="K206" s="108"/>
      <c r="L206" s="101"/>
      <c r="M206" s="101"/>
      <c r="N206" s="101"/>
    </row>
    <row r="207" spans="1:14" ht="75" x14ac:dyDescent="0.25">
      <c r="A207" s="108">
        <v>73</v>
      </c>
      <c r="B207" s="108" t="s">
        <v>470</v>
      </c>
      <c r="C207" s="108" t="s">
        <v>468</v>
      </c>
      <c r="D207" s="134" t="s">
        <v>92</v>
      </c>
      <c r="E207" s="101" t="s">
        <v>94</v>
      </c>
      <c r="F207" s="87">
        <v>211.59970000000001</v>
      </c>
      <c r="G207" s="101" t="s">
        <v>95</v>
      </c>
      <c r="H207" s="101" t="s">
        <v>469</v>
      </c>
      <c r="I207" s="90">
        <v>5580000</v>
      </c>
      <c r="J207" s="87">
        <v>41.369700000000002</v>
      </c>
      <c r="K207" s="108">
        <v>4.5</v>
      </c>
      <c r="L207" s="101">
        <v>2020</v>
      </c>
      <c r="M207" s="101" t="s">
        <v>471</v>
      </c>
      <c r="N207" s="101" t="s">
        <v>312</v>
      </c>
    </row>
    <row r="208" spans="1:14" ht="19.5" x14ac:dyDescent="0.25">
      <c r="A208" s="108"/>
      <c r="B208" s="431" t="s">
        <v>22</v>
      </c>
      <c r="C208" s="431"/>
      <c r="D208" s="134"/>
      <c r="E208" s="101"/>
      <c r="F208" s="37">
        <f>F207</f>
        <v>211.59970000000001</v>
      </c>
      <c r="G208" s="101"/>
      <c r="H208" s="101"/>
      <c r="I208" s="101"/>
      <c r="J208" s="37">
        <f>J207</f>
        <v>41.369700000000002</v>
      </c>
      <c r="K208" s="108"/>
      <c r="L208" s="101"/>
      <c r="M208" s="101"/>
      <c r="N208" s="101"/>
    </row>
    <row r="209" spans="1:14" ht="93.75" x14ac:dyDescent="0.25">
      <c r="A209" s="108">
        <v>74</v>
      </c>
      <c r="B209" s="108" t="s">
        <v>472</v>
      </c>
      <c r="C209" s="108" t="s">
        <v>473</v>
      </c>
      <c r="D209" s="134" t="s">
        <v>474</v>
      </c>
      <c r="E209" s="101" t="s">
        <v>472</v>
      </c>
      <c r="F209" s="87">
        <f>55000/1000000</f>
        <v>5.5E-2</v>
      </c>
      <c r="G209" s="101" t="s">
        <v>104</v>
      </c>
      <c r="H209" s="101" t="s">
        <v>469</v>
      </c>
      <c r="I209" s="90">
        <v>2186.35</v>
      </c>
      <c r="J209" s="87">
        <f>31265/1000000</f>
        <v>3.1265000000000001E-2</v>
      </c>
      <c r="K209" s="108">
        <v>1.8</v>
      </c>
      <c r="L209" s="101">
        <v>2020</v>
      </c>
      <c r="M209" s="101" t="s">
        <v>43</v>
      </c>
      <c r="N209" s="101" t="s">
        <v>312</v>
      </c>
    </row>
    <row r="210" spans="1:14" ht="19.5" x14ac:dyDescent="0.25">
      <c r="A210" s="108"/>
      <c r="B210" s="431" t="s">
        <v>22</v>
      </c>
      <c r="C210" s="431"/>
      <c r="D210" s="134"/>
      <c r="E210" s="101"/>
      <c r="F210" s="37">
        <f>F209</f>
        <v>5.5E-2</v>
      </c>
      <c r="G210" s="101"/>
      <c r="H210" s="101" t="s">
        <v>469</v>
      </c>
      <c r="I210" s="101"/>
      <c r="J210" s="37">
        <f>J209</f>
        <v>3.1265000000000001E-2</v>
      </c>
      <c r="K210" s="108"/>
      <c r="L210" s="101"/>
      <c r="M210" s="101"/>
      <c r="N210" s="101"/>
    </row>
    <row r="211" spans="1:14" ht="56.25" x14ac:dyDescent="0.25">
      <c r="A211" s="108">
        <v>75</v>
      </c>
      <c r="B211" s="108" t="s">
        <v>488</v>
      </c>
      <c r="C211" s="108" t="s">
        <v>487</v>
      </c>
      <c r="D211" s="134" t="s">
        <v>490</v>
      </c>
      <c r="E211" s="101" t="s">
        <v>488</v>
      </c>
      <c r="F211" s="87">
        <f>73908.8/1000</f>
        <v>73.908799999999999</v>
      </c>
      <c r="G211" s="101" t="s">
        <v>104</v>
      </c>
      <c r="H211" s="101" t="s">
        <v>469</v>
      </c>
      <c r="I211" s="90">
        <v>146000</v>
      </c>
      <c r="J211" s="87">
        <f>4388760/1000000</f>
        <v>4.3887600000000004</v>
      </c>
      <c r="K211" s="108">
        <v>16</v>
      </c>
      <c r="L211" s="101">
        <v>2020</v>
      </c>
      <c r="M211" s="101" t="s">
        <v>471</v>
      </c>
      <c r="N211" s="101" t="s">
        <v>312</v>
      </c>
    </row>
    <row r="212" spans="1:14" ht="19.5" x14ac:dyDescent="0.25">
      <c r="A212" s="108"/>
      <c r="B212" s="431" t="s">
        <v>22</v>
      </c>
      <c r="C212" s="431"/>
      <c r="D212" s="134"/>
      <c r="E212" s="101"/>
      <c r="F212" s="37">
        <f>F211</f>
        <v>73.908799999999999</v>
      </c>
      <c r="G212" s="101"/>
      <c r="H212" s="101"/>
      <c r="I212" s="101"/>
      <c r="J212" s="37">
        <f>J211</f>
        <v>4.3887600000000004</v>
      </c>
      <c r="K212" s="108"/>
      <c r="L212" s="101"/>
      <c r="M212" s="101"/>
      <c r="N212" s="101"/>
    </row>
    <row r="213" spans="1:14" ht="75" x14ac:dyDescent="0.25">
      <c r="A213" s="108">
        <v>76</v>
      </c>
      <c r="B213" s="108" t="s">
        <v>493</v>
      </c>
      <c r="C213" s="91" t="s">
        <v>491</v>
      </c>
      <c r="D213" s="142" t="s">
        <v>430</v>
      </c>
      <c r="E213" s="101" t="s">
        <v>493</v>
      </c>
      <c r="F213" s="87">
        <f>7065/1000</f>
        <v>7.0650000000000004</v>
      </c>
      <c r="G213" s="101" t="s">
        <v>104</v>
      </c>
      <c r="H213" s="101" t="s">
        <v>469</v>
      </c>
      <c r="I213" s="90">
        <v>48600</v>
      </c>
      <c r="J213" s="87">
        <f>1007/1000</f>
        <v>1.0069999999999999</v>
      </c>
      <c r="K213" s="108">
        <v>7</v>
      </c>
      <c r="L213" s="101">
        <v>2020</v>
      </c>
      <c r="M213" s="101" t="s">
        <v>492</v>
      </c>
      <c r="N213" s="101" t="s">
        <v>312</v>
      </c>
    </row>
    <row r="214" spans="1:14" ht="19.5" x14ac:dyDescent="0.25">
      <c r="A214" s="108"/>
      <c r="B214" s="431" t="s">
        <v>22</v>
      </c>
      <c r="C214" s="431"/>
      <c r="D214" s="134"/>
      <c r="E214" s="101"/>
      <c r="F214" s="37">
        <f>F213</f>
        <v>7.0650000000000004</v>
      </c>
      <c r="G214" s="101"/>
      <c r="H214" s="101"/>
      <c r="I214" s="101"/>
      <c r="J214" s="37">
        <f>J213</f>
        <v>1.0069999999999999</v>
      </c>
      <c r="K214" s="108"/>
      <c r="L214" s="101"/>
      <c r="M214" s="101"/>
      <c r="N214" s="101"/>
    </row>
    <row r="215" spans="1:14" ht="37.5" x14ac:dyDescent="0.25">
      <c r="A215" s="108">
        <v>77</v>
      </c>
      <c r="B215" s="108" t="s">
        <v>495</v>
      </c>
      <c r="C215" s="91" t="s">
        <v>494</v>
      </c>
      <c r="D215" s="142" t="s">
        <v>494</v>
      </c>
      <c r="E215" s="101" t="s">
        <v>495</v>
      </c>
      <c r="F215" s="87">
        <f>55000/1000</f>
        <v>55</v>
      </c>
      <c r="G215" s="101" t="s">
        <v>104</v>
      </c>
      <c r="H215" s="101" t="s">
        <v>469</v>
      </c>
      <c r="I215" s="90">
        <v>75000</v>
      </c>
      <c r="J215" s="87">
        <f>3225/1000</f>
        <v>3.2250000000000001</v>
      </c>
      <c r="K215" s="108">
        <v>17</v>
      </c>
      <c r="L215" s="101">
        <v>2020</v>
      </c>
      <c r="M215" s="101" t="s">
        <v>471</v>
      </c>
      <c r="N215" s="101" t="s">
        <v>312</v>
      </c>
    </row>
    <row r="216" spans="1:14" ht="19.5" x14ac:dyDescent="0.25">
      <c r="A216" s="108"/>
      <c r="B216" s="431" t="s">
        <v>22</v>
      </c>
      <c r="C216" s="431"/>
      <c r="D216" s="134"/>
      <c r="E216" s="101"/>
      <c r="F216" s="37">
        <f>F215</f>
        <v>55</v>
      </c>
      <c r="G216" s="101"/>
      <c r="H216" s="101"/>
      <c r="I216" s="101"/>
      <c r="J216" s="37">
        <f>J215</f>
        <v>3.2250000000000001</v>
      </c>
      <c r="K216" s="108"/>
      <c r="L216" s="101"/>
      <c r="M216" s="101"/>
      <c r="N216" s="101"/>
    </row>
    <row r="217" spans="1:14" ht="75" x14ac:dyDescent="0.25">
      <c r="A217" s="108">
        <v>78</v>
      </c>
      <c r="B217" s="108" t="s">
        <v>498</v>
      </c>
      <c r="C217" s="91" t="s">
        <v>496</v>
      </c>
      <c r="D217" s="142" t="s">
        <v>497</v>
      </c>
      <c r="E217" s="101" t="s">
        <v>523</v>
      </c>
      <c r="F217" s="87">
        <f>92666/1000</f>
        <v>92.665999999999997</v>
      </c>
      <c r="G217" s="101" t="s">
        <v>524</v>
      </c>
      <c r="H217" s="101" t="s">
        <v>469</v>
      </c>
      <c r="I217" s="90">
        <v>784195.2</v>
      </c>
      <c r="J217" s="87">
        <f>12798/1000</f>
        <v>12.798</v>
      </c>
      <c r="K217" s="108">
        <v>7</v>
      </c>
      <c r="L217" s="101">
        <v>2020</v>
      </c>
      <c r="M217" s="101" t="s">
        <v>499</v>
      </c>
      <c r="N217" s="101" t="s">
        <v>312</v>
      </c>
    </row>
    <row r="218" spans="1:14" ht="19.5" x14ac:dyDescent="0.25">
      <c r="A218" s="108"/>
      <c r="B218" s="431" t="s">
        <v>22</v>
      </c>
      <c r="C218" s="431"/>
      <c r="D218" s="134"/>
      <c r="E218" s="101"/>
      <c r="F218" s="37">
        <f>F217</f>
        <v>92.665999999999997</v>
      </c>
      <c r="G218" s="101"/>
      <c r="H218" s="101"/>
      <c r="I218" s="102"/>
      <c r="J218" s="37">
        <f>J217</f>
        <v>12.798</v>
      </c>
      <c r="K218" s="108"/>
      <c r="L218" s="101"/>
      <c r="M218" s="101"/>
      <c r="N218" s="101"/>
    </row>
    <row r="219" spans="1:14" ht="56.25" x14ac:dyDescent="0.25">
      <c r="A219" s="108">
        <v>79</v>
      </c>
      <c r="B219" s="108" t="s">
        <v>508</v>
      </c>
      <c r="C219" s="91" t="s">
        <v>506</v>
      </c>
      <c r="D219" s="142" t="s">
        <v>507</v>
      </c>
      <c r="E219" s="101" t="s">
        <v>525</v>
      </c>
      <c r="F219" s="87">
        <f>7495/1000</f>
        <v>7.4950000000000001</v>
      </c>
      <c r="G219" s="101" t="s">
        <v>524</v>
      </c>
      <c r="H219" s="101" t="s">
        <v>469</v>
      </c>
      <c r="I219" s="90">
        <v>50983.199999999997</v>
      </c>
      <c r="J219" s="87">
        <f>832.04/1000</f>
        <v>0.83204</v>
      </c>
      <c r="K219" s="108">
        <v>5</v>
      </c>
      <c r="L219" s="101">
        <v>2020</v>
      </c>
      <c r="M219" s="101" t="s">
        <v>499</v>
      </c>
      <c r="N219" s="101" t="s">
        <v>501</v>
      </c>
    </row>
    <row r="220" spans="1:14" ht="19.5" x14ac:dyDescent="0.25">
      <c r="A220" s="108"/>
      <c r="B220" s="431" t="s">
        <v>22</v>
      </c>
      <c r="C220" s="431"/>
      <c r="D220" s="134"/>
      <c r="E220" s="101"/>
      <c r="F220" s="37">
        <f>F219</f>
        <v>7.4950000000000001</v>
      </c>
      <c r="G220" s="101"/>
      <c r="H220" s="101"/>
      <c r="I220" s="101"/>
      <c r="J220" s="37">
        <f>J219</f>
        <v>0.83204</v>
      </c>
      <c r="K220" s="108"/>
      <c r="L220" s="101"/>
      <c r="M220" s="101"/>
      <c r="N220" s="101"/>
    </row>
    <row r="221" spans="1:14" ht="56.25" x14ac:dyDescent="0.25">
      <c r="A221" s="108">
        <v>80</v>
      </c>
      <c r="B221" s="108" t="s">
        <v>510</v>
      </c>
      <c r="C221" s="91" t="s">
        <v>509</v>
      </c>
      <c r="D221" s="142" t="s">
        <v>507</v>
      </c>
      <c r="E221" s="101" t="s">
        <v>526</v>
      </c>
      <c r="F221" s="87">
        <f>7500/1000</f>
        <v>7.5</v>
      </c>
      <c r="G221" s="101" t="s">
        <v>524</v>
      </c>
      <c r="H221" s="101" t="s">
        <v>469</v>
      </c>
      <c r="I221" s="90">
        <v>64718.8</v>
      </c>
      <c r="J221" s="87">
        <f>1056.212/1000</f>
        <v>1.0562119999999999</v>
      </c>
      <c r="K221" s="108">
        <v>5</v>
      </c>
      <c r="L221" s="101">
        <v>2020</v>
      </c>
      <c r="M221" s="101" t="s">
        <v>499</v>
      </c>
      <c r="N221" s="101" t="s">
        <v>501</v>
      </c>
    </row>
    <row r="222" spans="1:14" ht="19.5" x14ac:dyDescent="0.25">
      <c r="A222" s="108"/>
      <c r="B222" s="431" t="s">
        <v>22</v>
      </c>
      <c r="C222" s="431"/>
      <c r="D222" s="134"/>
      <c r="E222" s="101"/>
      <c r="F222" s="37">
        <f>F221</f>
        <v>7.5</v>
      </c>
      <c r="G222" s="101"/>
      <c r="H222" s="101"/>
      <c r="I222" s="101"/>
      <c r="J222" s="37">
        <f>J221</f>
        <v>1.0562119999999999</v>
      </c>
      <c r="K222" s="108"/>
      <c r="L222" s="101"/>
      <c r="M222" s="101"/>
      <c r="N222" s="101"/>
    </row>
    <row r="223" spans="1:14" ht="18.75" customHeight="1" x14ac:dyDescent="0.25">
      <c r="A223" s="426">
        <v>81</v>
      </c>
      <c r="B223" s="426" t="s">
        <v>512</v>
      </c>
      <c r="C223" s="551" t="s">
        <v>511</v>
      </c>
      <c r="D223" s="631" t="s">
        <v>529</v>
      </c>
      <c r="E223" s="427" t="s">
        <v>522</v>
      </c>
      <c r="F223" s="456">
        <f>17270.1/1000</f>
        <v>17.270099999999999</v>
      </c>
      <c r="G223" s="427" t="s">
        <v>524</v>
      </c>
      <c r="H223" s="449" t="s">
        <v>514</v>
      </c>
      <c r="I223" s="634">
        <v>16.7</v>
      </c>
      <c r="J223" s="456">
        <f>3202/1000</f>
        <v>3.202</v>
      </c>
      <c r="K223" s="452">
        <v>5.4</v>
      </c>
      <c r="L223" s="427">
        <v>2020</v>
      </c>
      <c r="M223" s="427" t="s">
        <v>438</v>
      </c>
      <c r="N223" s="427" t="s">
        <v>501</v>
      </c>
    </row>
    <row r="224" spans="1:14" ht="35.25" customHeight="1" x14ac:dyDescent="0.25">
      <c r="A224" s="426"/>
      <c r="B224" s="426"/>
      <c r="C224" s="551"/>
      <c r="D224" s="633"/>
      <c r="E224" s="427"/>
      <c r="F224" s="457"/>
      <c r="G224" s="427"/>
      <c r="H224" s="433"/>
      <c r="I224" s="635"/>
      <c r="J224" s="457"/>
      <c r="K224" s="434"/>
      <c r="L224" s="427"/>
      <c r="M224" s="427"/>
      <c r="N224" s="427"/>
    </row>
    <row r="225" spans="1:14" ht="19.5" x14ac:dyDescent="0.25">
      <c r="A225" s="108"/>
      <c r="B225" s="431" t="s">
        <v>22</v>
      </c>
      <c r="C225" s="431"/>
      <c r="D225" s="134"/>
      <c r="E225" s="101"/>
      <c r="F225" s="37">
        <f>SUM(F223:F224)</f>
        <v>17.270099999999999</v>
      </c>
      <c r="G225" s="101"/>
      <c r="H225" s="101"/>
      <c r="I225" s="101"/>
      <c r="J225" s="37">
        <f>J223+J224</f>
        <v>3.202</v>
      </c>
      <c r="K225" s="108"/>
      <c r="L225" s="101"/>
      <c r="M225" s="101"/>
      <c r="N225" s="101"/>
    </row>
    <row r="226" spans="1:14" ht="75" x14ac:dyDescent="0.25">
      <c r="A226" s="108">
        <v>82</v>
      </c>
      <c r="B226" s="108" t="s">
        <v>516</v>
      </c>
      <c r="C226" s="91" t="s">
        <v>515</v>
      </c>
      <c r="D226" s="142" t="s">
        <v>515</v>
      </c>
      <c r="E226" s="101" t="s">
        <v>516</v>
      </c>
      <c r="F226" s="87">
        <f>7200/1000</f>
        <v>7.2</v>
      </c>
      <c r="G226" s="101" t="s">
        <v>104</v>
      </c>
      <c r="H226" s="101" t="s">
        <v>469</v>
      </c>
      <c r="I226" s="90">
        <v>103328</v>
      </c>
      <c r="J226" s="87">
        <f>1354/1000</f>
        <v>1.3540000000000001</v>
      </c>
      <c r="K226" s="108">
        <v>5</v>
      </c>
      <c r="L226" s="101">
        <v>2020</v>
      </c>
      <c r="M226" s="101" t="s">
        <v>1148</v>
      </c>
      <c r="N226" s="101" t="s">
        <v>312</v>
      </c>
    </row>
    <row r="227" spans="1:14" ht="19.5" x14ac:dyDescent="0.25">
      <c r="A227" s="108"/>
      <c r="B227" s="431" t="s">
        <v>22</v>
      </c>
      <c r="C227" s="431"/>
      <c r="D227" s="134"/>
      <c r="E227" s="101"/>
      <c r="F227" s="37">
        <f>F226</f>
        <v>7.2</v>
      </c>
      <c r="G227" s="101"/>
      <c r="H227" s="101"/>
      <c r="I227" s="101"/>
      <c r="J227" s="37">
        <f>J226</f>
        <v>1.3540000000000001</v>
      </c>
      <c r="K227" s="108"/>
      <c r="L227" s="101"/>
      <c r="M227" s="101"/>
      <c r="N227" s="101"/>
    </row>
    <row r="228" spans="1:14" ht="56.25" x14ac:dyDescent="0.25">
      <c r="A228" s="108">
        <v>83</v>
      </c>
      <c r="B228" s="108" t="s">
        <v>521</v>
      </c>
      <c r="C228" s="91" t="s">
        <v>519</v>
      </c>
      <c r="D228" s="142" t="s">
        <v>520</v>
      </c>
      <c r="E228" s="101" t="s">
        <v>521</v>
      </c>
      <c r="F228" s="87">
        <f>624.41/1000</f>
        <v>0.62441000000000002</v>
      </c>
      <c r="G228" s="101" t="s">
        <v>104</v>
      </c>
      <c r="H228" s="101" t="s">
        <v>469</v>
      </c>
      <c r="I228" s="90">
        <v>12171</v>
      </c>
      <c r="J228" s="87">
        <f>208.136/1000</f>
        <v>0.20813599999999999</v>
      </c>
      <c r="K228" s="108">
        <v>3</v>
      </c>
      <c r="L228" s="101">
        <v>2020</v>
      </c>
      <c r="M228" s="101" t="s">
        <v>442</v>
      </c>
      <c r="N228" s="101" t="s">
        <v>21</v>
      </c>
    </row>
    <row r="229" spans="1:14" ht="19.5" x14ac:dyDescent="0.25">
      <c r="A229" s="108"/>
      <c r="B229" s="431" t="s">
        <v>22</v>
      </c>
      <c r="C229" s="431"/>
      <c r="D229" s="134"/>
      <c r="E229" s="101"/>
      <c r="F229" s="37">
        <f>F228</f>
        <v>0.62441000000000002</v>
      </c>
      <c r="G229" s="101"/>
      <c r="H229" s="101"/>
      <c r="I229" s="101"/>
      <c r="J229" s="37">
        <f>J228</f>
        <v>0.20813599999999999</v>
      </c>
      <c r="K229" s="108"/>
      <c r="L229" s="101"/>
      <c r="M229" s="101"/>
      <c r="N229" s="101"/>
    </row>
    <row r="230" spans="1:14" ht="93.75" x14ac:dyDescent="0.25">
      <c r="A230" s="108">
        <v>84</v>
      </c>
      <c r="B230" s="108" t="s">
        <v>532</v>
      </c>
      <c r="C230" s="91" t="s">
        <v>531</v>
      </c>
      <c r="D230" s="142" t="s">
        <v>533</v>
      </c>
      <c r="E230" s="101" t="s">
        <v>534</v>
      </c>
      <c r="F230" s="87">
        <f>446015/1000</f>
        <v>446.01499999999999</v>
      </c>
      <c r="G230" s="101" t="s">
        <v>427</v>
      </c>
      <c r="H230" s="101" t="s">
        <v>469</v>
      </c>
      <c r="I230" s="90">
        <v>2042462</v>
      </c>
      <c r="J230" s="87">
        <f>43790/1000</f>
        <v>43.79</v>
      </c>
      <c r="K230" s="108">
        <v>10</v>
      </c>
      <c r="L230" s="101">
        <v>2020</v>
      </c>
      <c r="M230" s="101" t="s">
        <v>438</v>
      </c>
      <c r="N230" s="101" t="s">
        <v>312</v>
      </c>
    </row>
    <row r="231" spans="1:14" ht="19.5" x14ac:dyDescent="0.25">
      <c r="A231" s="108"/>
      <c r="B231" s="431" t="s">
        <v>22</v>
      </c>
      <c r="C231" s="431"/>
      <c r="D231" s="134"/>
      <c r="E231" s="101"/>
      <c r="F231" s="37">
        <f>F230</f>
        <v>446.01499999999999</v>
      </c>
      <c r="G231" s="101"/>
      <c r="H231" s="101"/>
      <c r="I231" s="101"/>
      <c r="J231" s="37">
        <f>J230</f>
        <v>43.79</v>
      </c>
      <c r="K231" s="108"/>
      <c r="L231" s="101"/>
      <c r="M231" s="101"/>
      <c r="N231" s="101"/>
    </row>
    <row r="232" spans="1:14" ht="18.75" x14ac:dyDescent="0.25">
      <c r="A232" s="109"/>
      <c r="B232" s="109" t="s">
        <v>443</v>
      </c>
      <c r="C232" s="608"/>
      <c r="D232" s="608"/>
      <c r="E232" s="51"/>
      <c r="F232" s="34">
        <f>F190+F192+F194+F196+F198+F201+F204+F206+F208+F210+F212+F214+F216+F218+F220+F222+F225+F227+F229+F231</f>
        <v>9005.6870099999996</v>
      </c>
      <c r="G232" s="51"/>
      <c r="H232" s="34"/>
      <c r="I232" s="34"/>
      <c r="J232" s="34">
        <f>J190+J192+J194+J196+J198+J201+J204+J206+J208+J210+J212+J214+J216+J218+J220+J222+J225+J227+J229+J231</f>
        <v>502.28971000000013</v>
      </c>
      <c r="K232" s="109"/>
      <c r="L232" s="51"/>
      <c r="M232" s="51"/>
      <c r="N232" s="51"/>
    </row>
    <row r="233" spans="1:14" ht="56.25" x14ac:dyDescent="0.25">
      <c r="A233" s="108">
        <v>85</v>
      </c>
      <c r="B233" s="108" t="s">
        <v>1058</v>
      </c>
      <c r="C233" s="91" t="s">
        <v>1059</v>
      </c>
      <c r="D233" s="142" t="s">
        <v>1059</v>
      </c>
      <c r="E233" s="101" t="s">
        <v>1060</v>
      </c>
      <c r="F233" s="87">
        <f>1804709/1000</f>
        <v>1804.7090000000001</v>
      </c>
      <c r="G233" s="101" t="s">
        <v>1112</v>
      </c>
      <c r="H233" s="87" t="s">
        <v>1110</v>
      </c>
      <c r="I233" s="90">
        <v>1350579</v>
      </c>
      <c r="J233" s="87">
        <f>27713.881/1000</f>
        <v>27.713881000000001</v>
      </c>
      <c r="K233" s="108">
        <v>3</v>
      </c>
      <c r="L233" s="101">
        <v>2021</v>
      </c>
      <c r="M233" s="101" t="s">
        <v>1061</v>
      </c>
      <c r="N233" s="113" t="s">
        <v>312</v>
      </c>
    </row>
    <row r="234" spans="1:14" ht="19.5" x14ac:dyDescent="0.25">
      <c r="A234" s="108"/>
      <c r="B234" s="431" t="s">
        <v>22</v>
      </c>
      <c r="C234" s="431"/>
      <c r="D234" s="134"/>
      <c r="E234" s="101"/>
      <c r="F234" s="37">
        <f>SUM(F233:F233)</f>
        <v>1804.7090000000001</v>
      </c>
      <c r="G234" s="101"/>
      <c r="H234" s="102"/>
      <c r="I234" s="102"/>
      <c r="J234" s="37">
        <f>J233</f>
        <v>27.713881000000001</v>
      </c>
      <c r="K234" s="108"/>
      <c r="L234" s="101"/>
      <c r="M234" s="101"/>
      <c r="N234" s="113"/>
    </row>
    <row r="235" spans="1:14" ht="93.75" x14ac:dyDescent="0.25">
      <c r="A235" s="108">
        <v>86</v>
      </c>
      <c r="B235" s="108" t="s">
        <v>88</v>
      </c>
      <c r="C235" s="91" t="s">
        <v>1062</v>
      </c>
      <c r="D235" s="142" t="s">
        <v>1063</v>
      </c>
      <c r="E235" s="101" t="s">
        <v>89</v>
      </c>
      <c r="F235" s="87">
        <v>8374.7000000000007</v>
      </c>
      <c r="G235" s="101" t="s">
        <v>427</v>
      </c>
      <c r="H235" s="87" t="s">
        <v>1110</v>
      </c>
      <c r="I235" s="90">
        <v>3717000</v>
      </c>
      <c r="J235" s="87">
        <v>66.757320000000007</v>
      </c>
      <c r="K235" s="108">
        <v>5</v>
      </c>
      <c r="L235" s="101">
        <v>2021</v>
      </c>
      <c r="M235" s="101" t="s">
        <v>1064</v>
      </c>
      <c r="N235" s="113" t="s">
        <v>312</v>
      </c>
    </row>
    <row r="236" spans="1:14" ht="19.5" x14ac:dyDescent="0.25">
      <c r="A236" s="108"/>
      <c r="B236" s="431" t="s">
        <v>22</v>
      </c>
      <c r="C236" s="431"/>
      <c r="D236" s="134"/>
      <c r="E236" s="101"/>
      <c r="F236" s="37">
        <f>SUM(F235:F235)</f>
        <v>8374.7000000000007</v>
      </c>
      <c r="G236" s="101"/>
      <c r="H236" s="102"/>
      <c r="I236" s="102"/>
      <c r="J236" s="37">
        <f>J235</f>
        <v>66.757320000000007</v>
      </c>
      <c r="K236" s="108"/>
      <c r="L236" s="101"/>
      <c r="M236" s="101"/>
      <c r="N236" s="113"/>
    </row>
    <row r="237" spans="1:14" ht="56.25" x14ac:dyDescent="0.25">
      <c r="A237" s="108">
        <v>87</v>
      </c>
      <c r="B237" s="108" t="s">
        <v>1065</v>
      </c>
      <c r="C237" s="91" t="s">
        <v>1066</v>
      </c>
      <c r="D237" s="142" t="s">
        <v>507</v>
      </c>
      <c r="E237" s="101" t="s">
        <v>1067</v>
      </c>
      <c r="F237" s="87">
        <v>113.7491</v>
      </c>
      <c r="G237" s="101" t="s">
        <v>524</v>
      </c>
      <c r="H237" s="87" t="s">
        <v>1110</v>
      </c>
      <c r="I237" s="90">
        <v>696400</v>
      </c>
      <c r="J237" s="87">
        <v>19.2624</v>
      </c>
      <c r="K237" s="108">
        <v>5.9</v>
      </c>
      <c r="L237" s="101">
        <v>2021</v>
      </c>
      <c r="M237" s="101" t="s">
        <v>1068</v>
      </c>
      <c r="N237" s="113" t="s">
        <v>21</v>
      </c>
    </row>
    <row r="238" spans="1:14" ht="19.5" x14ac:dyDescent="0.25">
      <c r="A238" s="108"/>
      <c r="B238" s="431" t="s">
        <v>22</v>
      </c>
      <c r="C238" s="431"/>
      <c r="D238" s="134"/>
      <c r="E238" s="101"/>
      <c r="F238" s="88">
        <v>113.7491</v>
      </c>
      <c r="G238" s="101"/>
      <c r="H238" s="101"/>
      <c r="I238" s="101"/>
      <c r="J238" s="37">
        <f>J237</f>
        <v>19.2624</v>
      </c>
      <c r="K238" s="108"/>
      <c r="L238" s="101"/>
      <c r="M238" s="101"/>
      <c r="N238" s="113"/>
    </row>
    <row r="239" spans="1:14" ht="37.5" x14ac:dyDescent="0.25">
      <c r="A239" s="108">
        <v>88</v>
      </c>
      <c r="B239" s="108" t="s">
        <v>1069</v>
      </c>
      <c r="C239" s="91" t="s">
        <v>1070</v>
      </c>
      <c r="D239" s="142" t="s">
        <v>507</v>
      </c>
      <c r="E239" s="101" t="s">
        <v>1067</v>
      </c>
      <c r="F239" s="87">
        <v>129.47999999999999</v>
      </c>
      <c r="G239" s="101" t="s">
        <v>524</v>
      </c>
      <c r="H239" s="87" t="s">
        <v>1110</v>
      </c>
      <c r="I239" s="90">
        <v>367200</v>
      </c>
      <c r="J239" s="87">
        <v>10.1568</v>
      </c>
      <c r="K239" s="108">
        <v>8.3000000000000007</v>
      </c>
      <c r="L239" s="101">
        <v>2020</v>
      </c>
      <c r="M239" s="101" t="s">
        <v>1068</v>
      </c>
      <c r="N239" s="113" t="s">
        <v>21</v>
      </c>
    </row>
    <row r="240" spans="1:14" ht="19.5" x14ac:dyDescent="0.25">
      <c r="A240" s="108"/>
      <c r="B240" s="431" t="s">
        <v>22</v>
      </c>
      <c r="C240" s="431"/>
      <c r="D240" s="134"/>
      <c r="E240" s="101"/>
      <c r="F240" s="37">
        <f>F239</f>
        <v>129.47999999999999</v>
      </c>
      <c r="G240" s="101"/>
      <c r="H240" s="101"/>
      <c r="I240" s="101"/>
      <c r="J240" s="37">
        <f>J239</f>
        <v>10.1568</v>
      </c>
      <c r="K240" s="108"/>
      <c r="L240" s="101"/>
      <c r="M240" s="101"/>
      <c r="N240" s="113"/>
    </row>
    <row r="241" spans="1:14" ht="56.25" x14ac:dyDescent="0.25">
      <c r="A241" s="108">
        <v>89</v>
      </c>
      <c r="B241" s="108" t="s">
        <v>1071</v>
      </c>
      <c r="C241" s="91" t="s">
        <v>1072</v>
      </c>
      <c r="D241" s="142" t="s">
        <v>507</v>
      </c>
      <c r="E241" s="101" t="s">
        <v>522</v>
      </c>
      <c r="F241" s="87">
        <v>4.3042999999999996</v>
      </c>
      <c r="G241" s="101" t="s">
        <v>524</v>
      </c>
      <c r="H241" s="87" t="s">
        <v>1110</v>
      </c>
      <c r="I241" s="90">
        <v>55800</v>
      </c>
      <c r="J241" s="87">
        <v>0.87860000000000005</v>
      </c>
      <c r="K241" s="108">
        <v>4.9000000000000004</v>
      </c>
      <c r="L241" s="101">
        <v>2021</v>
      </c>
      <c r="M241" s="101" t="s">
        <v>471</v>
      </c>
      <c r="N241" s="113" t="s">
        <v>21</v>
      </c>
    </row>
    <row r="242" spans="1:14" ht="19.5" x14ac:dyDescent="0.25">
      <c r="A242" s="108"/>
      <c r="B242" s="431" t="s">
        <v>22</v>
      </c>
      <c r="C242" s="431"/>
      <c r="D242" s="134"/>
      <c r="E242" s="101"/>
      <c r="F242" s="37">
        <f>SUM(F241:F241)</f>
        <v>4.3042999999999996</v>
      </c>
      <c r="G242" s="101"/>
      <c r="H242" s="101"/>
      <c r="I242" s="101"/>
      <c r="J242" s="37">
        <f>J241</f>
        <v>0.87860000000000005</v>
      </c>
      <c r="K242" s="108"/>
      <c r="L242" s="101"/>
      <c r="M242" s="101"/>
      <c r="N242" s="113"/>
    </row>
    <row r="243" spans="1:14" ht="56.25" x14ac:dyDescent="0.25">
      <c r="A243" s="108">
        <v>90</v>
      </c>
      <c r="B243" s="108" t="s">
        <v>1171</v>
      </c>
      <c r="C243" s="91" t="s">
        <v>1074</v>
      </c>
      <c r="D243" s="142" t="s">
        <v>507</v>
      </c>
      <c r="E243" s="101" t="s">
        <v>1075</v>
      </c>
      <c r="F243" s="87">
        <v>49.051000000000002</v>
      </c>
      <c r="G243" s="101" t="s">
        <v>524</v>
      </c>
      <c r="H243" s="87" t="s">
        <v>1110</v>
      </c>
      <c r="I243" s="90">
        <v>76173</v>
      </c>
      <c r="J243" s="87">
        <v>2.6538680000000001</v>
      </c>
      <c r="K243" s="108">
        <v>18.399999999999999</v>
      </c>
      <c r="L243" s="101">
        <v>2021</v>
      </c>
      <c r="M243" s="101" t="s">
        <v>1061</v>
      </c>
      <c r="N243" s="113" t="s">
        <v>21</v>
      </c>
    </row>
    <row r="244" spans="1:14" ht="19.5" x14ac:dyDescent="0.25">
      <c r="A244" s="108"/>
      <c r="B244" s="431" t="s">
        <v>22</v>
      </c>
      <c r="C244" s="431"/>
      <c r="D244" s="134"/>
      <c r="E244" s="101"/>
      <c r="F244" s="37">
        <f>F243</f>
        <v>49.051000000000002</v>
      </c>
      <c r="G244" s="101"/>
      <c r="H244" s="101"/>
      <c r="I244" s="101"/>
      <c r="J244" s="37">
        <f>J243</f>
        <v>2.6538680000000001</v>
      </c>
      <c r="K244" s="108"/>
      <c r="L244" s="101"/>
      <c r="M244" s="101"/>
      <c r="N244" s="113"/>
    </row>
    <row r="245" spans="1:14" ht="112.5" x14ac:dyDescent="0.25">
      <c r="A245" s="108">
        <v>91</v>
      </c>
      <c r="B245" s="111" t="s">
        <v>1172</v>
      </c>
      <c r="C245" s="91" t="s">
        <v>1077</v>
      </c>
      <c r="D245" s="142" t="s">
        <v>507</v>
      </c>
      <c r="E245" s="101" t="s">
        <v>522</v>
      </c>
      <c r="F245" s="87">
        <v>27.896999999999998</v>
      </c>
      <c r="G245" s="101" t="s">
        <v>524</v>
      </c>
      <c r="H245" s="87" t="s">
        <v>1110</v>
      </c>
      <c r="I245" s="90">
        <v>128400</v>
      </c>
      <c r="J245" s="87">
        <v>3.3325</v>
      </c>
      <c r="K245" s="108">
        <v>8.4</v>
      </c>
      <c r="L245" s="101">
        <v>2021</v>
      </c>
      <c r="M245" s="101" t="s">
        <v>492</v>
      </c>
      <c r="N245" s="113" t="s">
        <v>21</v>
      </c>
    </row>
    <row r="246" spans="1:14" ht="19.5" x14ac:dyDescent="0.25">
      <c r="A246" s="108"/>
      <c r="B246" s="431" t="s">
        <v>22</v>
      </c>
      <c r="C246" s="431"/>
      <c r="D246" s="134"/>
      <c r="E246" s="101"/>
      <c r="F246" s="37">
        <f>F245</f>
        <v>27.896999999999998</v>
      </c>
      <c r="G246" s="101"/>
      <c r="H246" s="101"/>
      <c r="I246" s="101"/>
      <c r="J246" s="37">
        <f>J245</f>
        <v>3.3325</v>
      </c>
      <c r="K246" s="108"/>
      <c r="L246" s="101"/>
      <c r="M246" s="101"/>
      <c r="N246" s="113"/>
    </row>
    <row r="247" spans="1:14" ht="75" x14ac:dyDescent="0.25">
      <c r="A247" s="108">
        <v>92</v>
      </c>
      <c r="B247" s="108" t="s">
        <v>1096</v>
      </c>
      <c r="C247" s="91" t="s">
        <v>1078</v>
      </c>
      <c r="D247" s="142" t="s">
        <v>1079</v>
      </c>
      <c r="E247" s="101" t="s">
        <v>1080</v>
      </c>
      <c r="F247" s="87">
        <v>10588.367</v>
      </c>
      <c r="G247" s="101" t="s">
        <v>427</v>
      </c>
      <c r="H247" s="87" t="s">
        <v>1110</v>
      </c>
      <c r="I247" s="89">
        <v>1207.92</v>
      </c>
      <c r="J247" s="87">
        <v>35.635109999999997</v>
      </c>
      <c r="K247" s="108">
        <v>5</v>
      </c>
      <c r="L247" s="101">
        <v>2021</v>
      </c>
      <c r="M247" s="101" t="s">
        <v>1081</v>
      </c>
      <c r="N247" s="113" t="s">
        <v>312</v>
      </c>
    </row>
    <row r="248" spans="1:14" ht="19.5" x14ac:dyDescent="0.25">
      <c r="A248" s="108"/>
      <c r="B248" s="431" t="s">
        <v>22</v>
      </c>
      <c r="C248" s="431"/>
      <c r="D248" s="134"/>
      <c r="E248" s="101"/>
      <c r="F248" s="37">
        <f>F247</f>
        <v>10588.367</v>
      </c>
      <c r="G248" s="101"/>
      <c r="H248" s="101"/>
      <c r="I248" s="101"/>
      <c r="J248" s="37">
        <f>J247</f>
        <v>35.635109999999997</v>
      </c>
      <c r="K248" s="108"/>
      <c r="L248" s="101"/>
      <c r="M248" s="101"/>
      <c r="N248" s="113"/>
    </row>
    <row r="249" spans="1:14" ht="93.75" x14ac:dyDescent="0.25">
      <c r="A249" s="108">
        <v>93</v>
      </c>
      <c r="B249" s="108" t="s">
        <v>1173</v>
      </c>
      <c r="C249" s="108" t="s">
        <v>1159</v>
      </c>
      <c r="D249" s="134" t="s">
        <v>1160</v>
      </c>
      <c r="E249" s="101" t="s">
        <v>94</v>
      </c>
      <c r="F249" s="87">
        <v>975.10699999999997</v>
      </c>
      <c r="G249" s="101" t="s">
        <v>428</v>
      </c>
      <c r="H249" s="87" t="s">
        <v>1110</v>
      </c>
      <c r="I249" s="90">
        <v>44163358</v>
      </c>
      <c r="J249" s="87">
        <v>366.02589999999998</v>
      </c>
      <c r="K249" s="108">
        <v>3.2</v>
      </c>
      <c r="L249" s="101">
        <v>2021</v>
      </c>
      <c r="M249" s="101" t="s">
        <v>471</v>
      </c>
      <c r="N249" s="113" t="s">
        <v>21</v>
      </c>
    </row>
    <row r="250" spans="1:14" ht="19.5" x14ac:dyDescent="0.25">
      <c r="A250" s="108"/>
      <c r="B250" s="431" t="s">
        <v>22</v>
      </c>
      <c r="C250" s="431"/>
      <c r="D250" s="134"/>
      <c r="E250" s="101"/>
      <c r="F250" s="37">
        <f>F249</f>
        <v>975.10699999999997</v>
      </c>
      <c r="G250" s="101"/>
      <c r="H250" s="101"/>
      <c r="I250" s="101"/>
      <c r="J250" s="37">
        <f>J249</f>
        <v>366.02589999999998</v>
      </c>
      <c r="K250" s="108"/>
      <c r="L250" s="101"/>
      <c r="M250" s="101"/>
      <c r="N250" s="113"/>
    </row>
    <row r="251" spans="1:14" ht="112.5" x14ac:dyDescent="0.25">
      <c r="A251" s="108">
        <v>94</v>
      </c>
      <c r="B251" s="108" t="s">
        <v>1108</v>
      </c>
      <c r="C251" s="91" t="s">
        <v>1109</v>
      </c>
      <c r="D251" s="142" t="s">
        <v>1174</v>
      </c>
      <c r="E251" s="113" t="s">
        <v>1111</v>
      </c>
      <c r="F251" s="87">
        <v>216.7208</v>
      </c>
      <c r="G251" s="101" t="s">
        <v>428</v>
      </c>
      <c r="H251" s="87" t="s">
        <v>1110</v>
      </c>
      <c r="I251" s="90">
        <v>2542325</v>
      </c>
      <c r="J251" s="87">
        <v>39.177230000000002</v>
      </c>
      <c r="K251" s="108">
        <v>5</v>
      </c>
      <c r="L251" s="101">
        <v>2021</v>
      </c>
      <c r="M251" s="101" t="s">
        <v>27</v>
      </c>
      <c r="N251" s="113" t="s">
        <v>21</v>
      </c>
    </row>
    <row r="252" spans="1:14" ht="18.75" customHeight="1" x14ac:dyDescent="0.25">
      <c r="A252" s="108"/>
      <c r="B252" s="612" t="s">
        <v>22</v>
      </c>
      <c r="C252" s="613"/>
      <c r="D252" s="142"/>
      <c r="E252" s="113"/>
      <c r="F252" s="88">
        <v>216.7208</v>
      </c>
      <c r="G252" s="101"/>
      <c r="H252" s="101"/>
      <c r="I252" s="90"/>
      <c r="J252" s="37">
        <f>J251</f>
        <v>39.177230000000002</v>
      </c>
      <c r="K252" s="108"/>
      <c r="L252" s="101"/>
      <c r="M252" s="101"/>
      <c r="N252" s="113"/>
    </row>
    <row r="253" spans="1:14" ht="56.25" x14ac:dyDescent="0.25">
      <c r="A253" s="108">
        <v>95</v>
      </c>
      <c r="B253" s="108" t="s">
        <v>1177</v>
      </c>
      <c r="C253" s="111" t="s">
        <v>1115</v>
      </c>
      <c r="D253" s="143" t="s">
        <v>1116</v>
      </c>
      <c r="E253" s="101" t="s">
        <v>1117</v>
      </c>
      <c r="F253" s="89">
        <v>163.26249999999999</v>
      </c>
      <c r="G253" s="101" t="s">
        <v>524</v>
      </c>
      <c r="H253" s="87" t="s">
        <v>1110</v>
      </c>
      <c r="I253" s="90">
        <v>1417295</v>
      </c>
      <c r="J253" s="87">
        <v>12.07535</v>
      </c>
      <c r="K253" s="108">
        <v>13.5</v>
      </c>
      <c r="L253" s="101">
        <v>2021</v>
      </c>
      <c r="M253" s="101" t="s">
        <v>492</v>
      </c>
      <c r="N253" s="113" t="s">
        <v>21</v>
      </c>
    </row>
    <row r="254" spans="1:14" ht="19.5" x14ac:dyDescent="0.25">
      <c r="A254" s="108"/>
      <c r="B254" s="431" t="s">
        <v>22</v>
      </c>
      <c r="C254" s="431"/>
      <c r="D254" s="143"/>
      <c r="E254" s="101"/>
      <c r="F254" s="92">
        <v>163.26249999999999</v>
      </c>
      <c r="G254" s="101"/>
      <c r="H254" s="101"/>
      <c r="I254" s="87"/>
      <c r="J254" s="88">
        <f>J253</f>
        <v>12.07535</v>
      </c>
      <c r="K254" s="108"/>
      <c r="L254" s="101"/>
      <c r="M254" s="101"/>
      <c r="N254" s="113"/>
    </row>
    <row r="255" spans="1:14" ht="56.25" x14ac:dyDescent="0.25">
      <c r="A255" s="108">
        <v>96</v>
      </c>
      <c r="B255" s="111" t="s">
        <v>1178</v>
      </c>
      <c r="C255" s="111" t="s">
        <v>1118</v>
      </c>
      <c r="D255" s="143" t="s">
        <v>1119</v>
      </c>
      <c r="E255" s="101" t="s">
        <v>1117</v>
      </c>
      <c r="F255" s="89">
        <v>5.7350000000000003</v>
      </c>
      <c r="G255" s="101" t="s">
        <v>524</v>
      </c>
      <c r="H255" s="87" t="s">
        <v>1110</v>
      </c>
      <c r="I255" s="90">
        <v>58499</v>
      </c>
      <c r="J255" s="87">
        <v>0.84519999999999995</v>
      </c>
      <c r="K255" s="108">
        <v>6.7</v>
      </c>
      <c r="L255" s="101">
        <v>2021</v>
      </c>
      <c r="M255" s="101" t="s">
        <v>43</v>
      </c>
      <c r="N255" s="113" t="s">
        <v>21</v>
      </c>
    </row>
    <row r="256" spans="1:14" ht="19.5" x14ac:dyDescent="0.25">
      <c r="A256" s="108"/>
      <c r="B256" s="431" t="s">
        <v>22</v>
      </c>
      <c r="C256" s="431"/>
      <c r="D256" s="134"/>
      <c r="E256" s="101"/>
      <c r="F256" s="92">
        <v>5.7350000000000003</v>
      </c>
      <c r="G256" s="101"/>
      <c r="H256" s="101"/>
      <c r="I256" s="101"/>
      <c r="J256" s="37">
        <f>J255</f>
        <v>0.84519999999999995</v>
      </c>
      <c r="K256" s="108"/>
      <c r="L256" s="101"/>
      <c r="M256" s="101"/>
      <c r="N256" s="113"/>
    </row>
    <row r="257" spans="1:14" ht="93.75" x14ac:dyDescent="0.25">
      <c r="A257" s="108">
        <v>97</v>
      </c>
      <c r="B257" s="111" t="s">
        <v>1120</v>
      </c>
      <c r="C257" s="111" t="s">
        <v>1179</v>
      </c>
      <c r="D257" s="143" t="s">
        <v>1121</v>
      </c>
      <c r="E257" s="101" t="s">
        <v>1122</v>
      </c>
      <c r="F257" s="89">
        <v>66.322500000000005</v>
      </c>
      <c r="G257" s="101" t="s">
        <v>524</v>
      </c>
      <c r="H257" s="87" t="s">
        <v>1110</v>
      </c>
      <c r="I257" s="93">
        <v>863627</v>
      </c>
      <c r="J257" s="84">
        <v>12.27214</v>
      </c>
      <c r="K257" s="108">
        <v>5.4</v>
      </c>
      <c r="L257" s="101">
        <v>2021</v>
      </c>
      <c r="M257" s="101" t="s">
        <v>1148</v>
      </c>
      <c r="N257" s="113" t="s">
        <v>21</v>
      </c>
    </row>
    <row r="258" spans="1:14" ht="19.5" x14ac:dyDescent="0.25">
      <c r="A258" s="108"/>
      <c r="B258" s="431" t="s">
        <v>22</v>
      </c>
      <c r="C258" s="431"/>
      <c r="D258" s="134"/>
      <c r="E258" s="101"/>
      <c r="F258" s="92">
        <v>66.322500000000005</v>
      </c>
      <c r="G258" s="101"/>
      <c r="H258" s="101"/>
      <c r="I258" s="101"/>
      <c r="J258" s="94">
        <f>J257</f>
        <v>12.27214</v>
      </c>
      <c r="K258" s="108"/>
      <c r="L258" s="101"/>
      <c r="M258" s="101"/>
      <c r="N258" s="113"/>
    </row>
    <row r="259" spans="1:14" ht="112.5" x14ac:dyDescent="0.25">
      <c r="A259" s="108">
        <v>98</v>
      </c>
      <c r="B259" s="111" t="s">
        <v>1126</v>
      </c>
      <c r="C259" s="111" t="s">
        <v>1127</v>
      </c>
      <c r="D259" s="143" t="s">
        <v>1128</v>
      </c>
      <c r="E259" s="101" t="s">
        <v>1129</v>
      </c>
      <c r="F259" s="102">
        <v>80.706249999999997</v>
      </c>
      <c r="G259" s="101" t="s">
        <v>524</v>
      </c>
      <c r="H259" s="87" t="s">
        <v>1110</v>
      </c>
      <c r="I259" s="90">
        <v>678700</v>
      </c>
      <c r="J259" s="102">
        <v>10.0787</v>
      </c>
      <c r="K259" s="108">
        <v>8</v>
      </c>
      <c r="L259" s="101">
        <v>2021</v>
      </c>
      <c r="M259" s="101" t="s">
        <v>471</v>
      </c>
      <c r="N259" s="113" t="s">
        <v>21</v>
      </c>
    </row>
    <row r="260" spans="1:14" ht="19.5" x14ac:dyDescent="0.25">
      <c r="A260" s="108"/>
      <c r="B260" s="431" t="s">
        <v>22</v>
      </c>
      <c r="C260" s="431"/>
      <c r="D260" s="431"/>
      <c r="E260" s="431"/>
      <c r="F260" s="37">
        <v>80.706249999999997</v>
      </c>
      <c r="G260" s="101"/>
      <c r="H260" s="101"/>
      <c r="I260" s="101"/>
      <c r="J260" s="37">
        <f>J259</f>
        <v>10.0787</v>
      </c>
      <c r="K260" s="108"/>
      <c r="L260" s="101"/>
      <c r="M260" s="101"/>
      <c r="N260" s="113"/>
    </row>
    <row r="261" spans="1:14" ht="93.75" x14ac:dyDescent="0.25">
      <c r="A261" s="108">
        <v>99</v>
      </c>
      <c r="B261" s="111" t="s">
        <v>1130</v>
      </c>
      <c r="C261" s="111" t="s">
        <v>1131</v>
      </c>
      <c r="D261" s="143" t="s">
        <v>1132</v>
      </c>
      <c r="E261" s="101" t="s">
        <v>1122</v>
      </c>
      <c r="F261" s="102">
        <v>67.247500000000002</v>
      </c>
      <c r="G261" s="101" t="s">
        <v>524</v>
      </c>
      <c r="H261" s="87" t="s">
        <v>1110</v>
      </c>
      <c r="I261" s="90">
        <v>685942</v>
      </c>
      <c r="J261" s="102">
        <v>12.628209999999999</v>
      </c>
      <c r="K261" s="108">
        <v>5.3</v>
      </c>
      <c r="L261" s="101">
        <v>2021</v>
      </c>
      <c r="M261" s="101" t="s">
        <v>492</v>
      </c>
      <c r="N261" s="113" t="s">
        <v>21</v>
      </c>
    </row>
    <row r="262" spans="1:14" ht="19.5" x14ac:dyDescent="0.25">
      <c r="A262" s="108"/>
      <c r="B262" s="431" t="s">
        <v>22</v>
      </c>
      <c r="C262" s="431"/>
      <c r="D262" s="431"/>
      <c r="E262" s="431"/>
      <c r="F262" s="37">
        <v>67.247500000000002</v>
      </c>
      <c r="G262" s="101"/>
      <c r="H262" s="101"/>
      <c r="I262" s="101"/>
      <c r="J262" s="37">
        <f>J261</f>
        <v>12.628209999999999</v>
      </c>
      <c r="K262" s="108"/>
      <c r="L262" s="101"/>
      <c r="M262" s="101"/>
      <c r="N262" s="113"/>
    </row>
    <row r="263" spans="1:14" ht="37.5" x14ac:dyDescent="0.25">
      <c r="A263" s="108">
        <v>100</v>
      </c>
      <c r="B263" s="108" t="s">
        <v>1150</v>
      </c>
      <c r="C263" s="111" t="s">
        <v>1151</v>
      </c>
      <c r="D263" s="134" t="s">
        <v>1152</v>
      </c>
      <c r="E263" s="101" t="s">
        <v>1150</v>
      </c>
      <c r="F263" s="102">
        <v>5.88</v>
      </c>
      <c r="G263" s="101" t="s">
        <v>1112</v>
      </c>
      <c r="H263" s="87" t="s">
        <v>1110</v>
      </c>
      <c r="I263" s="101">
        <v>76300</v>
      </c>
      <c r="J263" s="102">
        <v>18.594000000000001</v>
      </c>
      <c r="K263" s="108">
        <v>3.1</v>
      </c>
      <c r="L263" s="101">
        <v>2021</v>
      </c>
      <c r="M263" s="101" t="s">
        <v>1149</v>
      </c>
      <c r="N263" s="113" t="s">
        <v>21</v>
      </c>
    </row>
    <row r="264" spans="1:14" ht="19.5" x14ac:dyDescent="0.25">
      <c r="A264" s="108"/>
      <c r="B264" s="431" t="s">
        <v>22</v>
      </c>
      <c r="C264" s="431"/>
      <c r="D264" s="431"/>
      <c r="E264" s="431"/>
      <c r="F264" s="37">
        <v>5.88</v>
      </c>
      <c r="G264" s="101"/>
      <c r="H264" s="101"/>
      <c r="I264" s="101"/>
      <c r="J264" s="37">
        <f>J263</f>
        <v>18.594000000000001</v>
      </c>
      <c r="K264" s="108"/>
      <c r="L264" s="101"/>
      <c r="M264" s="101"/>
      <c r="N264" s="113"/>
    </row>
    <row r="265" spans="1:14" ht="56.25" x14ac:dyDescent="0.25">
      <c r="A265" s="426">
        <v>101</v>
      </c>
      <c r="B265" s="426" t="s">
        <v>1158</v>
      </c>
      <c r="C265" s="426" t="s">
        <v>1154</v>
      </c>
      <c r="D265" s="142" t="s">
        <v>1155</v>
      </c>
      <c r="E265" s="427" t="s">
        <v>1158</v>
      </c>
      <c r="F265" s="102">
        <v>83.048044000000004</v>
      </c>
      <c r="G265" s="427" t="s">
        <v>1112</v>
      </c>
      <c r="H265" s="87" t="s">
        <v>1110</v>
      </c>
      <c r="I265" s="89">
        <v>2041.934</v>
      </c>
      <c r="J265" s="102">
        <v>38.85801</v>
      </c>
      <c r="K265" s="108">
        <v>2.2000000000000002</v>
      </c>
      <c r="L265" s="427">
        <v>2021</v>
      </c>
      <c r="M265" s="427" t="s">
        <v>1148</v>
      </c>
      <c r="N265" s="428" t="s">
        <v>1114</v>
      </c>
    </row>
    <row r="266" spans="1:14" ht="18.75" x14ac:dyDescent="0.25">
      <c r="A266" s="426"/>
      <c r="B266" s="426"/>
      <c r="C266" s="426"/>
      <c r="D266" s="142" t="s">
        <v>1156</v>
      </c>
      <c r="E266" s="427"/>
      <c r="F266" s="102">
        <v>14.6699</v>
      </c>
      <c r="G266" s="427"/>
      <c r="H266" s="87" t="s">
        <v>1110</v>
      </c>
      <c r="I266" s="89">
        <v>3990.8159999999998</v>
      </c>
      <c r="J266" s="102">
        <v>75.945229999999995</v>
      </c>
      <c r="K266" s="108">
        <v>0.2</v>
      </c>
      <c r="L266" s="427"/>
      <c r="M266" s="427"/>
      <c r="N266" s="428"/>
    </row>
    <row r="267" spans="1:14" ht="93.75" x14ac:dyDescent="0.25">
      <c r="A267" s="426"/>
      <c r="B267" s="426"/>
      <c r="C267" s="426"/>
      <c r="D267" s="142" t="s">
        <v>1157</v>
      </c>
      <c r="E267" s="427"/>
      <c r="F267" s="102">
        <v>586.39200000000005</v>
      </c>
      <c r="G267" s="427"/>
      <c r="H267" s="87" t="s">
        <v>1110</v>
      </c>
      <c r="I267" s="89">
        <v>1927</v>
      </c>
      <c r="J267" s="102">
        <v>36.6708</v>
      </c>
      <c r="K267" s="108">
        <v>16</v>
      </c>
      <c r="L267" s="427"/>
      <c r="M267" s="427"/>
      <c r="N267" s="428"/>
    </row>
    <row r="268" spans="1:14" ht="19.5" x14ac:dyDescent="0.25">
      <c r="A268" s="108"/>
      <c r="B268" s="431" t="s">
        <v>22</v>
      </c>
      <c r="C268" s="431"/>
      <c r="D268" s="431"/>
      <c r="E268" s="431"/>
      <c r="F268" s="37">
        <v>684.10994400000004</v>
      </c>
      <c r="G268" s="101"/>
      <c r="H268" s="101"/>
      <c r="I268" s="101"/>
      <c r="J268" s="37">
        <f>SUM(J265:J267)</f>
        <v>151.47404</v>
      </c>
      <c r="K268" s="108"/>
      <c r="L268" s="101"/>
      <c r="M268" s="101"/>
      <c r="N268" s="113"/>
    </row>
    <row r="269" spans="1:14" ht="112.5" x14ac:dyDescent="0.25">
      <c r="A269" s="108">
        <v>102</v>
      </c>
      <c r="B269" s="108" t="s">
        <v>1184</v>
      </c>
      <c r="C269" s="111" t="s">
        <v>1186</v>
      </c>
      <c r="D269" s="134" t="s">
        <v>1187</v>
      </c>
      <c r="E269" s="101" t="s">
        <v>447</v>
      </c>
      <c r="F269" s="102">
        <f>5310000/1000</f>
        <v>5310</v>
      </c>
      <c r="G269" s="101" t="s">
        <v>1189</v>
      </c>
      <c r="H269" s="87" t="s">
        <v>1110</v>
      </c>
      <c r="I269" s="90">
        <v>2498344</v>
      </c>
      <c r="J269" s="102">
        <f>36196/1000</f>
        <v>36.195999999999998</v>
      </c>
      <c r="K269" s="108">
        <v>10</v>
      </c>
      <c r="L269" s="101">
        <v>2020</v>
      </c>
      <c r="M269" s="101" t="s">
        <v>43</v>
      </c>
      <c r="N269" s="113" t="s">
        <v>1114</v>
      </c>
    </row>
    <row r="270" spans="1:14" ht="19.5" x14ac:dyDescent="0.25">
      <c r="A270" s="108"/>
      <c r="B270" s="431" t="s">
        <v>22</v>
      </c>
      <c r="C270" s="431"/>
      <c r="D270" s="431"/>
      <c r="E270" s="431"/>
      <c r="F270" s="37">
        <f>5310000/1000</f>
        <v>5310</v>
      </c>
      <c r="G270" s="101"/>
      <c r="H270" s="101"/>
      <c r="I270" s="101"/>
      <c r="J270" s="37">
        <f>J269</f>
        <v>36.195999999999998</v>
      </c>
      <c r="K270" s="108"/>
      <c r="L270" s="101"/>
      <c r="M270" s="101"/>
      <c r="N270" s="113"/>
    </row>
    <row r="271" spans="1:14" ht="56.25" x14ac:dyDescent="0.25">
      <c r="A271" s="108">
        <v>103</v>
      </c>
      <c r="B271" s="108" t="s">
        <v>1204</v>
      </c>
      <c r="C271" s="108" t="s">
        <v>1190</v>
      </c>
      <c r="D271" s="134" t="s">
        <v>1191</v>
      </c>
      <c r="E271" s="101" t="s">
        <v>1204</v>
      </c>
      <c r="F271" s="102">
        <v>33.75</v>
      </c>
      <c r="G271" s="101" t="s">
        <v>1112</v>
      </c>
      <c r="H271" s="87" t="s">
        <v>1110</v>
      </c>
      <c r="I271" s="90">
        <v>766500</v>
      </c>
      <c r="J271" s="102">
        <v>18.396000000000001</v>
      </c>
      <c r="K271" s="108">
        <v>1.8</v>
      </c>
      <c r="L271" s="101">
        <v>2021</v>
      </c>
      <c r="M271" s="101" t="s">
        <v>27</v>
      </c>
      <c r="N271" s="113" t="s">
        <v>21</v>
      </c>
    </row>
    <row r="272" spans="1:14" ht="19.5" x14ac:dyDescent="0.25">
      <c r="A272" s="108"/>
      <c r="B272" s="431" t="s">
        <v>22</v>
      </c>
      <c r="C272" s="431"/>
      <c r="D272" s="431"/>
      <c r="E272" s="431"/>
      <c r="F272" s="37">
        <v>33.75</v>
      </c>
      <c r="G272" s="101"/>
      <c r="H272" s="101"/>
      <c r="I272" s="101"/>
      <c r="J272" s="37">
        <f>J271</f>
        <v>18.396000000000001</v>
      </c>
      <c r="K272" s="108"/>
      <c r="L272" s="35"/>
      <c r="M272" s="101"/>
      <c r="N272" s="113"/>
    </row>
    <row r="273" spans="1:14" ht="37.5" x14ac:dyDescent="0.25">
      <c r="A273" s="108">
        <v>104</v>
      </c>
      <c r="B273" s="108" t="s">
        <v>1205</v>
      </c>
      <c r="C273" s="108" t="s">
        <v>1192</v>
      </c>
      <c r="D273" s="134" t="s">
        <v>1192</v>
      </c>
      <c r="E273" s="101" t="s">
        <v>1205</v>
      </c>
      <c r="F273" s="102">
        <v>62.25</v>
      </c>
      <c r="G273" s="101" t="s">
        <v>1112</v>
      </c>
      <c r="H273" s="87" t="s">
        <v>1110</v>
      </c>
      <c r="I273" s="90">
        <v>893520</v>
      </c>
      <c r="J273" s="102">
        <f>21444.48/1000</f>
        <v>21.444479999999999</v>
      </c>
      <c r="K273" s="108">
        <v>2.9</v>
      </c>
      <c r="L273" s="101">
        <v>2021</v>
      </c>
      <c r="M273" s="101" t="s">
        <v>1113</v>
      </c>
      <c r="N273" s="113" t="s">
        <v>21</v>
      </c>
    </row>
    <row r="274" spans="1:14" ht="19.5" x14ac:dyDescent="0.25">
      <c r="A274" s="108"/>
      <c r="B274" s="431" t="s">
        <v>22</v>
      </c>
      <c r="C274" s="431"/>
      <c r="D274" s="431"/>
      <c r="E274" s="431"/>
      <c r="F274" s="37">
        <v>62.25</v>
      </c>
      <c r="G274" s="101"/>
      <c r="H274" s="101"/>
      <c r="I274" s="101"/>
      <c r="J274" s="37">
        <f>J273</f>
        <v>21.444479999999999</v>
      </c>
      <c r="K274" s="108"/>
      <c r="L274" s="35"/>
      <c r="M274" s="101"/>
      <c r="N274" s="113"/>
    </row>
    <row r="275" spans="1:14" ht="56.25" x14ac:dyDescent="0.25">
      <c r="A275" s="108">
        <v>105</v>
      </c>
      <c r="B275" s="108" t="s">
        <v>1205</v>
      </c>
      <c r="C275" s="108" t="s">
        <v>1192</v>
      </c>
      <c r="D275" s="134" t="s">
        <v>1193</v>
      </c>
      <c r="E275" s="101" t="s">
        <v>1205</v>
      </c>
      <c r="F275" s="102">
        <v>72.625</v>
      </c>
      <c r="G275" s="101" t="s">
        <v>1112</v>
      </c>
      <c r="H275" s="87" t="s">
        <v>1110</v>
      </c>
      <c r="I275" s="90">
        <v>1042440</v>
      </c>
      <c r="J275" s="102">
        <v>25.018999999999998</v>
      </c>
      <c r="K275" s="108">
        <v>2.9</v>
      </c>
      <c r="L275" s="101">
        <v>2021</v>
      </c>
      <c r="M275" s="101" t="s">
        <v>1113</v>
      </c>
      <c r="N275" s="113" t="s">
        <v>21</v>
      </c>
    </row>
    <row r="276" spans="1:14" ht="19.5" x14ac:dyDescent="0.25">
      <c r="A276" s="108"/>
      <c r="B276" s="431" t="s">
        <v>22</v>
      </c>
      <c r="C276" s="431"/>
      <c r="D276" s="431"/>
      <c r="E276" s="431"/>
      <c r="F276" s="37">
        <v>72.625</v>
      </c>
      <c r="G276" s="101"/>
      <c r="H276" s="101"/>
      <c r="I276" s="101"/>
      <c r="J276" s="37">
        <f>J275</f>
        <v>25.018999999999998</v>
      </c>
      <c r="K276" s="108"/>
      <c r="L276" s="35"/>
      <c r="M276" s="101"/>
      <c r="N276" s="113"/>
    </row>
    <row r="277" spans="1:14" ht="37.5" x14ac:dyDescent="0.25">
      <c r="A277" s="108">
        <v>106</v>
      </c>
      <c r="B277" s="108" t="s">
        <v>1206</v>
      </c>
      <c r="C277" s="108" t="s">
        <v>1194</v>
      </c>
      <c r="D277" s="134" t="s">
        <v>1194</v>
      </c>
      <c r="E277" s="101" t="s">
        <v>1206</v>
      </c>
      <c r="F277" s="102">
        <f>1360/1000</f>
        <v>1.36</v>
      </c>
      <c r="G277" s="101" t="s">
        <v>1112</v>
      </c>
      <c r="H277" s="87" t="s">
        <v>1110</v>
      </c>
      <c r="I277" s="90">
        <v>23827</v>
      </c>
      <c r="J277" s="102">
        <v>0.57199999999999995</v>
      </c>
      <c r="K277" s="108">
        <v>2.2999999999999998</v>
      </c>
      <c r="L277" s="101">
        <v>2021</v>
      </c>
      <c r="M277" s="101" t="s">
        <v>27</v>
      </c>
      <c r="N277" s="113" t="s">
        <v>21</v>
      </c>
    </row>
    <row r="278" spans="1:14" ht="19.5" x14ac:dyDescent="0.25">
      <c r="A278" s="35"/>
      <c r="B278" s="431" t="s">
        <v>22</v>
      </c>
      <c r="C278" s="431"/>
      <c r="D278" s="431"/>
      <c r="E278" s="431"/>
      <c r="F278" s="37">
        <f>1360/1000</f>
        <v>1.36</v>
      </c>
      <c r="G278" s="35"/>
      <c r="H278" s="35"/>
      <c r="I278" s="35"/>
      <c r="J278" s="37">
        <f>J277</f>
        <v>0.57199999999999995</v>
      </c>
      <c r="K278" s="36"/>
      <c r="L278" s="35"/>
      <c r="M278" s="35"/>
      <c r="N278" s="99"/>
    </row>
    <row r="279" spans="1:14" ht="56.25" x14ac:dyDescent="0.25">
      <c r="A279" s="108">
        <v>107</v>
      </c>
      <c r="B279" s="108" t="s">
        <v>1201</v>
      </c>
      <c r="C279" s="108" t="s">
        <v>1198</v>
      </c>
      <c r="D279" s="134" t="s">
        <v>1199</v>
      </c>
      <c r="E279" s="101" t="s">
        <v>1201</v>
      </c>
      <c r="F279" s="102">
        <v>28.148</v>
      </c>
      <c r="G279" s="101" t="s">
        <v>1112</v>
      </c>
      <c r="H279" s="87" t="s">
        <v>1110</v>
      </c>
      <c r="I279" s="90">
        <v>804168</v>
      </c>
      <c r="J279" s="102">
        <v>19.3</v>
      </c>
      <c r="K279" s="108">
        <v>1.5</v>
      </c>
      <c r="L279" s="101">
        <v>2021</v>
      </c>
      <c r="M279" s="101" t="s">
        <v>1200</v>
      </c>
      <c r="N279" s="113" t="s">
        <v>21</v>
      </c>
    </row>
    <row r="280" spans="1:14" ht="19.5" x14ac:dyDescent="0.25">
      <c r="A280" s="35"/>
      <c r="B280" s="431" t="s">
        <v>22</v>
      </c>
      <c r="C280" s="431"/>
      <c r="D280" s="431"/>
      <c r="E280" s="431"/>
      <c r="F280" s="37">
        <f>28147.56/1000</f>
        <v>28.147560000000002</v>
      </c>
      <c r="G280" s="35"/>
      <c r="H280" s="35"/>
      <c r="I280" s="35"/>
      <c r="J280" s="37">
        <f>J279</f>
        <v>19.3</v>
      </c>
      <c r="K280" s="36"/>
      <c r="L280" s="35"/>
      <c r="M280" s="35"/>
      <c r="N280" s="99"/>
    </row>
    <row r="281" spans="1:14" ht="37.5" x14ac:dyDescent="0.25">
      <c r="A281" s="108">
        <v>108</v>
      </c>
      <c r="B281" s="108" t="s">
        <v>1202</v>
      </c>
      <c r="C281" s="108" t="s">
        <v>1195</v>
      </c>
      <c r="D281" s="134" t="s">
        <v>1196</v>
      </c>
      <c r="E281" s="101" t="s">
        <v>1202</v>
      </c>
      <c r="F281" s="102">
        <v>3.28</v>
      </c>
      <c r="G281" s="101" t="s">
        <v>1112</v>
      </c>
      <c r="H281" s="87" t="s">
        <v>1110</v>
      </c>
      <c r="I281" s="90">
        <v>17520</v>
      </c>
      <c r="J281" s="102">
        <v>0.42</v>
      </c>
      <c r="K281" s="108">
        <v>7.8</v>
      </c>
      <c r="L281" s="101">
        <v>2021</v>
      </c>
      <c r="M281" s="101" t="s">
        <v>27</v>
      </c>
      <c r="N281" s="113" t="s">
        <v>21</v>
      </c>
    </row>
    <row r="282" spans="1:14" ht="19.5" x14ac:dyDescent="0.25">
      <c r="A282" s="108"/>
      <c r="B282" s="431" t="s">
        <v>22</v>
      </c>
      <c r="C282" s="431"/>
      <c r="D282" s="431"/>
      <c r="E282" s="431"/>
      <c r="F282" s="37">
        <f>3280/1000</f>
        <v>3.28</v>
      </c>
      <c r="G282" s="101"/>
      <c r="H282" s="101"/>
      <c r="I282" s="101"/>
      <c r="J282" s="37">
        <f>J281</f>
        <v>0.42</v>
      </c>
      <c r="K282" s="108"/>
      <c r="L282" s="35"/>
      <c r="M282" s="101"/>
      <c r="N282" s="113"/>
    </row>
    <row r="283" spans="1:14" ht="56.25" x14ac:dyDescent="0.25">
      <c r="A283" s="108">
        <v>109</v>
      </c>
      <c r="B283" s="108" t="s">
        <v>1203</v>
      </c>
      <c r="C283" s="108" t="s">
        <v>1190</v>
      </c>
      <c r="D283" s="134" t="s">
        <v>1197</v>
      </c>
      <c r="E283" s="101" t="s">
        <v>1203</v>
      </c>
      <c r="F283" s="102">
        <v>10</v>
      </c>
      <c r="G283" s="101" t="s">
        <v>1112</v>
      </c>
      <c r="H283" s="87" t="s">
        <v>1110</v>
      </c>
      <c r="I283" s="90">
        <v>119136</v>
      </c>
      <c r="J283" s="102">
        <v>2.859</v>
      </c>
      <c r="K283" s="108">
        <v>3.5</v>
      </c>
      <c r="L283" s="101">
        <v>2021</v>
      </c>
      <c r="M283" s="101" t="s">
        <v>27</v>
      </c>
      <c r="N283" s="113" t="s">
        <v>21</v>
      </c>
    </row>
    <row r="284" spans="1:14" ht="19.5" x14ac:dyDescent="0.25">
      <c r="A284" s="108"/>
      <c r="B284" s="431" t="s">
        <v>22</v>
      </c>
      <c r="C284" s="431"/>
      <c r="D284" s="431"/>
      <c r="E284" s="431"/>
      <c r="F284" s="37">
        <v>10</v>
      </c>
      <c r="G284" s="101"/>
      <c r="H284" s="101"/>
      <c r="I284" s="101"/>
      <c r="J284" s="37">
        <f>J283</f>
        <v>2.859</v>
      </c>
      <c r="K284" s="108"/>
      <c r="L284" s="35"/>
      <c r="M284" s="101"/>
      <c r="N284" s="101"/>
    </row>
    <row r="285" spans="1:14" ht="18.75" x14ac:dyDescent="0.25">
      <c r="A285" s="109"/>
      <c r="B285" s="109" t="s">
        <v>1082</v>
      </c>
      <c r="C285" s="608"/>
      <c r="D285" s="608"/>
      <c r="E285" s="51"/>
      <c r="F285" s="34">
        <f>F234+F236+F238+F240+F242+F244+F246+F248+F250+F252+F254+F256+F258+F260+F262+F264+F268+F270+F272+F274+F276+F278+F280+F282+F284</f>
        <v>28878.761454000003</v>
      </c>
      <c r="G285" s="51"/>
      <c r="H285" s="34"/>
      <c r="I285" s="34"/>
      <c r="J285" s="34">
        <f>J234+J236+J238+J240+J242+J244+J246+J248+J250+J252+J254+J256+J258+J260+J262+J264+J268+J270+J272+J274+J276+J278+J280+J282+J284</f>
        <v>913.76772900000003</v>
      </c>
      <c r="K285" s="109"/>
      <c r="L285" s="51"/>
      <c r="M285" s="51"/>
      <c r="N285" s="51"/>
    </row>
    <row r="286" spans="1:14" s="149" customFormat="1" ht="18.75" x14ac:dyDescent="0.25">
      <c r="A286" s="145"/>
      <c r="B286" s="609" t="s">
        <v>1188</v>
      </c>
      <c r="C286" s="609"/>
      <c r="D286" s="609"/>
      <c r="E286" s="146"/>
      <c r="F286" s="147">
        <f>F27+F80+F146+F188+F232+F285</f>
        <v>78825.524948900013</v>
      </c>
      <c r="G286" s="146"/>
      <c r="H286" s="147"/>
      <c r="I286" s="147"/>
      <c r="J286" s="147">
        <f>J27+J80+J146+J188+J232+J285</f>
        <v>2925.4062000000004</v>
      </c>
      <c r="K286" s="145"/>
      <c r="L286" s="146"/>
      <c r="M286" s="148"/>
      <c r="N286" s="148"/>
    </row>
    <row r="287" spans="1:14" ht="15.75" x14ac:dyDescent="0.25">
      <c r="A287" s="8"/>
      <c r="B287" s="8"/>
      <c r="C287" s="8"/>
      <c r="D287" s="137"/>
      <c r="E287" s="7"/>
      <c r="F287" s="12"/>
      <c r="G287" s="7"/>
      <c r="H287" s="7"/>
      <c r="I287" s="7"/>
      <c r="J287" s="12"/>
      <c r="K287" s="8"/>
      <c r="L287" s="7"/>
      <c r="M287" s="7"/>
      <c r="N287" s="7"/>
    </row>
    <row r="288" spans="1:14" ht="15.75" x14ac:dyDescent="0.25">
      <c r="A288" s="8"/>
      <c r="B288" s="8"/>
      <c r="C288" s="8"/>
      <c r="D288" s="137"/>
      <c r="E288" s="7"/>
      <c r="F288" s="12"/>
      <c r="G288" s="7"/>
      <c r="H288" s="7"/>
      <c r="I288" s="7"/>
      <c r="J288" s="12"/>
      <c r="K288" s="8"/>
      <c r="L288" s="7"/>
      <c r="M288" s="7"/>
      <c r="N288" s="7"/>
    </row>
    <row r="289" spans="1:14" ht="15.75" x14ac:dyDescent="0.25">
      <c r="A289" s="8"/>
      <c r="B289" s="8"/>
      <c r="C289" s="8"/>
      <c r="D289" s="137"/>
      <c r="E289" s="7"/>
      <c r="F289" s="12"/>
      <c r="G289" s="7"/>
      <c r="H289" s="7"/>
      <c r="I289" s="7"/>
      <c r="J289" s="12"/>
      <c r="K289" s="8"/>
      <c r="L289" s="7"/>
      <c r="M289" s="7"/>
      <c r="N289" s="7"/>
    </row>
    <row r="290" spans="1:14" ht="15.75" x14ac:dyDescent="0.25">
      <c r="A290" s="8"/>
      <c r="B290" s="8"/>
      <c r="C290" s="8"/>
      <c r="D290" s="137"/>
      <c r="E290" s="7"/>
      <c r="F290" s="12"/>
      <c r="G290" s="7"/>
      <c r="H290" s="7"/>
      <c r="I290" s="7"/>
      <c r="J290" s="12"/>
      <c r="K290" s="8"/>
      <c r="L290" s="7"/>
      <c r="M290" s="7"/>
      <c r="N290" s="7"/>
    </row>
    <row r="291" spans="1:14" ht="15.75" x14ac:dyDescent="0.25">
      <c r="A291" s="8"/>
      <c r="B291" s="8"/>
      <c r="C291" s="8"/>
      <c r="D291" s="137"/>
      <c r="E291" s="7"/>
      <c r="F291" s="12"/>
      <c r="G291" s="7"/>
      <c r="H291" s="7"/>
      <c r="I291" s="7"/>
      <c r="J291" s="12"/>
      <c r="K291" s="8"/>
      <c r="L291" s="7"/>
      <c r="M291" s="7"/>
      <c r="N291" s="7"/>
    </row>
    <row r="292" spans="1:14" ht="15.75" x14ac:dyDescent="0.25">
      <c r="A292" s="8"/>
      <c r="B292" s="8"/>
      <c r="C292" s="8"/>
      <c r="D292" s="137"/>
      <c r="E292" s="7"/>
      <c r="F292" s="12"/>
      <c r="G292" s="7"/>
      <c r="H292" s="7"/>
      <c r="I292" s="7"/>
      <c r="J292" s="12"/>
      <c r="K292" s="8"/>
      <c r="L292" s="7"/>
      <c r="M292" s="7"/>
      <c r="N292" s="7"/>
    </row>
    <row r="293" spans="1:14" ht="15.75" x14ac:dyDescent="0.25">
      <c r="A293" s="8"/>
      <c r="B293" s="8"/>
      <c r="C293" s="8"/>
      <c r="D293" s="137"/>
      <c r="E293" s="7"/>
      <c r="F293" s="12"/>
      <c r="G293" s="7"/>
      <c r="H293" s="7"/>
      <c r="I293" s="7"/>
      <c r="J293" s="12"/>
      <c r="K293" s="8"/>
      <c r="L293" s="7"/>
      <c r="M293" s="7"/>
      <c r="N293" s="7"/>
    </row>
    <row r="385" ht="56.25" customHeight="1" x14ac:dyDescent="0.25"/>
    <row r="406" ht="84.75" customHeight="1" x14ac:dyDescent="0.25"/>
    <row r="409" ht="18.75" customHeight="1" x14ac:dyDescent="0.25"/>
  </sheetData>
  <mergeCells count="445">
    <mergeCell ref="D50:D51"/>
    <mergeCell ref="F50:F51"/>
    <mergeCell ref="H50:H51"/>
    <mergeCell ref="I50:I51"/>
    <mergeCell ref="J50:J51"/>
    <mergeCell ref="K50:K51"/>
    <mergeCell ref="F71:F74"/>
    <mergeCell ref="H71:H74"/>
    <mergeCell ref="I71:I74"/>
    <mergeCell ref="J71:J74"/>
    <mergeCell ref="K71:K74"/>
    <mergeCell ref="K47:K48"/>
    <mergeCell ref="K5:K7"/>
    <mergeCell ref="D13:D15"/>
    <mergeCell ref="F13:F15"/>
    <mergeCell ref="H13:H15"/>
    <mergeCell ref="I13:I15"/>
    <mergeCell ref="J13:J15"/>
    <mergeCell ref="K13:K15"/>
    <mergeCell ref="D5:D7"/>
    <mergeCell ref="F5:F7"/>
    <mergeCell ref="H5:H7"/>
    <mergeCell ref="I5:I7"/>
    <mergeCell ref="J5:J7"/>
    <mergeCell ref="G42:G45"/>
    <mergeCell ref="B286:D286"/>
    <mergeCell ref="G85:G86"/>
    <mergeCell ref="E85:E86"/>
    <mergeCell ref="C85:C86"/>
    <mergeCell ref="B85:B86"/>
    <mergeCell ref="A85:A86"/>
    <mergeCell ref="D100:D103"/>
    <mergeCell ref="D105:D113"/>
    <mergeCell ref="F105:F113"/>
    <mergeCell ref="F132:F133"/>
    <mergeCell ref="B284:E284"/>
    <mergeCell ref="C285:D285"/>
    <mergeCell ref="B272:E272"/>
    <mergeCell ref="B274:E274"/>
    <mergeCell ref="B276:E276"/>
    <mergeCell ref="B278:E278"/>
    <mergeCell ref="B280:E280"/>
    <mergeCell ref="B282:E282"/>
    <mergeCell ref="B270:E270"/>
    <mergeCell ref="G265:G267"/>
    <mergeCell ref="B260:E260"/>
    <mergeCell ref="B262:E262"/>
    <mergeCell ref="B250:C250"/>
    <mergeCell ref="B252:C252"/>
    <mergeCell ref="L265:L267"/>
    <mergeCell ref="M265:M267"/>
    <mergeCell ref="N265:N267"/>
    <mergeCell ref="B268:E268"/>
    <mergeCell ref="B264:E264"/>
    <mergeCell ref="A265:A267"/>
    <mergeCell ref="B265:B267"/>
    <mergeCell ref="C265:C267"/>
    <mergeCell ref="E265:E267"/>
    <mergeCell ref="B254:C254"/>
    <mergeCell ref="B256:C256"/>
    <mergeCell ref="B258:C258"/>
    <mergeCell ref="B238:C238"/>
    <mergeCell ref="B240:C240"/>
    <mergeCell ref="B242:C242"/>
    <mergeCell ref="B244:C244"/>
    <mergeCell ref="B246:C246"/>
    <mergeCell ref="B248:C248"/>
    <mergeCell ref="B229:C229"/>
    <mergeCell ref="B231:C231"/>
    <mergeCell ref="C232:D232"/>
    <mergeCell ref="B234:C234"/>
    <mergeCell ref="B236:C236"/>
    <mergeCell ref="G223:G224"/>
    <mergeCell ref="L223:L224"/>
    <mergeCell ref="M223:M224"/>
    <mergeCell ref="N223:N224"/>
    <mergeCell ref="B225:C225"/>
    <mergeCell ref="B227:C227"/>
    <mergeCell ref="K223:K224"/>
    <mergeCell ref="J223:J224"/>
    <mergeCell ref="I223:I224"/>
    <mergeCell ref="H223:H224"/>
    <mergeCell ref="F223:F224"/>
    <mergeCell ref="D223:D224"/>
    <mergeCell ref="B220:C220"/>
    <mergeCell ref="B222:C222"/>
    <mergeCell ref="A223:A224"/>
    <mergeCell ref="B223:B224"/>
    <mergeCell ref="C223:C224"/>
    <mergeCell ref="E223:E224"/>
    <mergeCell ref="B218:C218"/>
    <mergeCell ref="B208:C208"/>
    <mergeCell ref="B210:C210"/>
    <mergeCell ref="B212:C212"/>
    <mergeCell ref="B214:C214"/>
    <mergeCell ref="B216:C216"/>
    <mergeCell ref="L202:L203"/>
    <mergeCell ref="M202:M203"/>
    <mergeCell ref="N202:N203"/>
    <mergeCell ref="B204:C204"/>
    <mergeCell ref="B206:C206"/>
    <mergeCell ref="B201:C201"/>
    <mergeCell ref="A202:A203"/>
    <mergeCell ref="B202:B203"/>
    <mergeCell ref="C202:C203"/>
    <mergeCell ref="E202:E203"/>
    <mergeCell ref="G202:G203"/>
    <mergeCell ref="L199:L200"/>
    <mergeCell ref="M199:M200"/>
    <mergeCell ref="N199:N200"/>
    <mergeCell ref="B194:C194"/>
    <mergeCell ref="B196:C196"/>
    <mergeCell ref="B198:C198"/>
    <mergeCell ref="A199:A200"/>
    <mergeCell ref="B199:B200"/>
    <mergeCell ref="C199:C200"/>
    <mergeCell ref="E199:E200"/>
    <mergeCell ref="G199:G200"/>
    <mergeCell ref="K199:K200"/>
    <mergeCell ref="M181:M186"/>
    <mergeCell ref="N181:N186"/>
    <mergeCell ref="B187:C187"/>
    <mergeCell ref="C188:D188"/>
    <mergeCell ref="B190:C190"/>
    <mergeCell ref="B192:C192"/>
    <mergeCell ref="A181:A186"/>
    <mergeCell ref="B181:B186"/>
    <mergeCell ref="C181:C186"/>
    <mergeCell ref="E181:E186"/>
    <mergeCell ref="G181:G186"/>
    <mergeCell ref="L181:L186"/>
    <mergeCell ref="K183:K186"/>
    <mergeCell ref="J183:J186"/>
    <mergeCell ref="I183:I186"/>
    <mergeCell ref="H183:H186"/>
    <mergeCell ref="F183:F186"/>
    <mergeCell ref="D183:D186"/>
    <mergeCell ref="B178:C178"/>
    <mergeCell ref="B180:C180"/>
    <mergeCell ref="B176:C176"/>
    <mergeCell ref="B166:C166"/>
    <mergeCell ref="B168:C168"/>
    <mergeCell ref="B170:C170"/>
    <mergeCell ref="B172:C172"/>
    <mergeCell ref="B174:C174"/>
    <mergeCell ref="B156:C156"/>
    <mergeCell ref="B158:C158"/>
    <mergeCell ref="B160:C160"/>
    <mergeCell ref="B162:C162"/>
    <mergeCell ref="B164:C164"/>
    <mergeCell ref="B148:C148"/>
    <mergeCell ref="B150:C150"/>
    <mergeCell ref="B152:C152"/>
    <mergeCell ref="B154:C154"/>
    <mergeCell ref="G142:G144"/>
    <mergeCell ref="L142:L144"/>
    <mergeCell ref="M142:M144"/>
    <mergeCell ref="N142:N144"/>
    <mergeCell ref="B145:C145"/>
    <mergeCell ref="C146:D146"/>
    <mergeCell ref="K142:K144"/>
    <mergeCell ref="J142:J144"/>
    <mergeCell ref="I142:I144"/>
    <mergeCell ref="H142:H144"/>
    <mergeCell ref="F142:F144"/>
    <mergeCell ref="D142:D144"/>
    <mergeCell ref="M135:M136"/>
    <mergeCell ref="N135:N136"/>
    <mergeCell ref="B137:C137"/>
    <mergeCell ref="B139:C139"/>
    <mergeCell ref="A135:A136"/>
    <mergeCell ref="B135:B136"/>
    <mergeCell ref="C135:C136"/>
    <mergeCell ref="E135:E136"/>
    <mergeCell ref="G135:G136"/>
    <mergeCell ref="L135:L136"/>
    <mergeCell ref="B134:C134"/>
    <mergeCell ref="K132:K133"/>
    <mergeCell ref="J132:J133"/>
    <mergeCell ref="I132:I133"/>
    <mergeCell ref="H132:H133"/>
    <mergeCell ref="B129:C129"/>
    <mergeCell ref="B131:C131"/>
    <mergeCell ref="B141:C141"/>
    <mergeCell ref="A142:A144"/>
    <mergeCell ref="B142:B144"/>
    <mergeCell ref="C142:C144"/>
    <mergeCell ref="E142:E144"/>
    <mergeCell ref="G132:G133"/>
    <mergeCell ref="A132:A133"/>
    <mergeCell ref="B132:B133"/>
    <mergeCell ref="C132:C133"/>
    <mergeCell ref="E132:E133"/>
    <mergeCell ref="D132:D133"/>
    <mergeCell ref="B125:C125"/>
    <mergeCell ref="B127:C127"/>
    <mergeCell ref="L132:L133"/>
    <mergeCell ref="M132:M133"/>
    <mergeCell ref="N132:N133"/>
    <mergeCell ref="D121:D124"/>
    <mergeCell ref="F121:F124"/>
    <mergeCell ref="K121:K124"/>
    <mergeCell ref="J121:J124"/>
    <mergeCell ref="I121:I124"/>
    <mergeCell ref="H121:H124"/>
    <mergeCell ref="L117:L119"/>
    <mergeCell ref="M117:M119"/>
    <mergeCell ref="N117:N119"/>
    <mergeCell ref="B120:C120"/>
    <mergeCell ref="A121:A124"/>
    <mergeCell ref="B121:B124"/>
    <mergeCell ref="C121:C124"/>
    <mergeCell ref="E121:E124"/>
    <mergeCell ref="G121:G124"/>
    <mergeCell ref="A117:A119"/>
    <mergeCell ref="B117:B119"/>
    <mergeCell ref="C117:C119"/>
    <mergeCell ref="E117:E119"/>
    <mergeCell ref="G117:G119"/>
    <mergeCell ref="K117:K119"/>
    <mergeCell ref="J117:J119"/>
    <mergeCell ref="I117:I119"/>
    <mergeCell ref="H117:H119"/>
    <mergeCell ref="F117:F119"/>
    <mergeCell ref="D117:D119"/>
    <mergeCell ref="L121:L124"/>
    <mergeCell ref="M121:M124"/>
    <mergeCell ref="N121:N124"/>
    <mergeCell ref="B116:C116"/>
    <mergeCell ref="N105:N113"/>
    <mergeCell ref="B114:C114"/>
    <mergeCell ref="M100:M103"/>
    <mergeCell ref="N100:N103"/>
    <mergeCell ref="B104:C104"/>
    <mergeCell ref="A105:A113"/>
    <mergeCell ref="B105:B113"/>
    <mergeCell ref="C105:C113"/>
    <mergeCell ref="E105:E113"/>
    <mergeCell ref="G105:G113"/>
    <mergeCell ref="L105:L113"/>
    <mergeCell ref="M105:M113"/>
    <mergeCell ref="I100:I103"/>
    <mergeCell ref="J100:J103"/>
    <mergeCell ref="K100:K103"/>
    <mergeCell ref="F100:F103"/>
    <mergeCell ref="H105:H113"/>
    <mergeCell ref="I105:I113"/>
    <mergeCell ref="J105:J113"/>
    <mergeCell ref="K105:K113"/>
    <mergeCell ref="N95:N98"/>
    <mergeCell ref="B99:C99"/>
    <mergeCell ref="A100:A103"/>
    <mergeCell ref="B100:B103"/>
    <mergeCell ref="C100:C103"/>
    <mergeCell ref="E100:E103"/>
    <mergeCell ref="G100:G103"/>
    <mergeCell ref="H100:H103"/>
    <mergeCell ref="L100:L103"/>
    <mergeCell ref="K97:K98"/>
    <mergeCell ref="J97:J98"/>
    <mergeCell ref="I97:I98"/>
    <mergeCell ref="H97:H98"/>
    <mergeCell ref="F97:F98"/>
    <mergeCell ref="D97:D98"/>
    <mergeCell ref="B92:C92"/>
    <mergeCell ref="B94:C94"/>
    <mergeCell ref="A95:A98"/>
    <mergeCell ref="B95:B98"/>
    <mergeCell ref="C95:C98"/>
    <mergeCell ref="E95:E98"/>
    <mergeCell ref="G95:G98"/>
    <mergeCell ref="L95:L98"/>
    <mergeCell ref="M95:M98"/>
    <mergeCell ref="L85:L86"/>
    <mergeCell ref="M85:M86"/>
    <mergeCell ref="N85:N86"/>
    <mergeCell ref="B87:C87"/>
    <mergeCell ref="A88:A91"/>
    <mergeCell ref="B88:B91"/>
    <mergeCell ref="C88:C91"/>
    <mergeCell ref="E88:E91"/>
    <mergeCell ref="G88:G91"/>
    <mergeCell ref="L88:L91"/>
    <mergeCell ref="M88:M91"/>
    <mergeCell ref="N88:N91"/>
    <mergeCell ref="K85:K86"/>
    <mergeCell ref="J85:J86"/>
    <mergeCell ref="I85:I86"/>
    <mergeCell ref="H85:H86"/>
    <mergeCell ref="F85:F86"/>
    <mergeCell ref="D85:D86"/>
    <mergeCell ref="K90:K91"/>
    <mergeCell ref="J90:J91"/>
    <mergeCell ref="I90:I91"/>
    <mergeCell ref="H90:H91"/>
    <mergeCell ref="F90:F91"/>
    <mergeCell ref="D90:D91"/>
    <mergeCell ref="L81:L83"/>
    <mergeCell ref="M81:M83"/>
    <mergeCell ref="N81:N83"/>
    <mergeCell ref="B84:C84"/>
    <mergeCell ref="B79:C79"/>
    <mergeCell ref="C80:D80"/>
    <mergeCell ref="A81:A83"/>
    <mergeCell ref="B81:B83"/>
    <mergeCell ref="C81:C83"/>
    <mergeCell ref="E81:E83"/>
    <mergeCell ref="G81:G83"/>
    <mergeCell ref="B75:C75"/>
    <mergeCell ref="A76:A78"/>
    <mergeCell ref="B76:B78"/>
    <mergeCell ref="C76:C78"/>
    <mergeCell ref="G76:G78"/>
    <mergeCell ref="L76:L78"/>
    <mergeCell ref="M76:M78"/>
    <mergeCell ref="N76:N78"/>
    <mergeCell ref="D71:D74"/>
    <mergeCell ref="D76:D78"/>
    <mergeCell ref="K76:K78"/>
    <mergeCell ref="J76:J78"/>
    <mergeCell ref="I76:I78"/>
    <mergeCell ref="H76:H78"/>
    <mergeCell ref="F76:F78"/>
    <mergeCell ref="E76:E78"/>
    <mergeCell ref="M65:M68"/>
    <mergeCell ref="N65:N68"/>
    <mergeCell ref="B69:C69"/>
    <mergeCell ref="A70:A74"/>
    <mergeCell ref="B70:B74"/>
    <mergeCell ref="C70:C74"/>
    <mergeCell ref="E70:E74"/>
    <mergeCell ref="G70:G74"/>
    <mergeCell ref="L70:L74"/>
    <mergeCell ref="M70:M74"/>
    <mergeCell ref="N70:N74"/>
    <mergeCell ref="D65:D68"/>
    <mergeCell ref="F65:F68"/>
    <mergeCell ref="H65:H68"/>
    <mergeCell ref="I65:I68"/>
    <mergeCell ref="J65:J68"/>
    <mergeCell ref="K65:K68"/>
    <mergeCell ref="B60:C60"/>
    <mergeCell ref="B62:C62"/>
    <mergeCell ref="B64:C64"/>
    <mergeCell ref="A65:A68"/>
    <mergeCell ref="B65:B68"/>
    <mergeCell ref="C65:C68"/>
    <mergeCell ref="E65:E68"/>
    <mergeCell ref="G65:G68"/>
    <mergeCell ref="L65:L68"/>
    <mergeCell ref="M55:M56"/>
    <mergeCell ref="N55:N56"/>
    <mergeCell ref="B57:C57"/>
    <mergeCell ref="A58:A59"/>
    <mergeCell ref="B58:B59"/>
    <mergeCell ref="C58:C59"/>
    <mergeCell ref="E58:E59"/>
    <mergeCell ref="G58:G59"/>
    <mergeCell ref="L58:L59"/>
    <mergeCell ref="M58:M59"/>
    <mergeCell ref="A55:A56"/>
    <mergeCell ref="B55:B56"/>
    <mergeCell ref="C55:C56"/>
    <mergeCell ref="E55:E56"/>
    <mergeCell ref="G55:G56"/>
    <mergeCell ref="L55:L56"/>
    <mergeCell ref="N58:N59"/>
    <mergeCell ref="N50:N51"/>
    <mergeCell ref="B52:C52"/>
    <mergeCell ref="B54:C54"/>
    <mergeCell ref="M47:M48"/>
    <mergeCell ref="N47:N48"/>
    <mergeCell ref="B49:C49"/>
    <mergeCell ref="A50:A51"/>
    <mergeCell ref="B50:B51"/>
    <mergeCell ref="C50:C51"/>
    <mergeCell ref="E50:E51"/>
    <mergeCell ref="G50:G51"/>
    <mergeCell ref="L50:L51"/>
    <mergeCell ref="M50:M51"/>
    <mergeCell ref="A47:A48"/>
    <mergeCell ref="B47:B48"/>
    <mergeCell ref="C47:C48"/>
    <mergeCell ref="E47:E48"/>
    <mergeCell ref="G47:G48"/>
    <mergeCell ref="L47:L48"/>
    <mergeCell ref="D47:D48"/>
    <mergeCell ref="F47:F48"/>
    <mergeCell ref="H47:H48"/>
    <mergeCell ref="I47:I48"/>
    <mergeCell ref="J47:J48"/>
    <mergeCell ref="M42:M45"/>
    <mergeCell ref="N42:N45"/>
    <mergeCell ref="B46:C46"/>
    <mergeCell ref="B41:C41"/>
    <mergeCell ref="A42:A45"/>
    <mergeCell ref="B42:B45"/>
    <mergeCell ref="C42:C45"/>
    <mergeCell ref="E42:E45"/>
    <mergeCell ref="B29:C29"/>
    <mergeCell ref="B31:C31"/>
    <mergeCell ref="B33:C33"/>
    <mergeCell ref="B35:C35"/>
    <mergeCell ref="B37:C37"/>
    <mergeCell ref="B39:C39"/>
    <mergeCell ref="L42:L45"/>
    <mergeCell ref="B22:C22"/>
    <mergeCell ref="B24:C24"/>
    <mergeCell ref="B26:C26"/>
    <mergeCell ref="M13:M15"/>
    <mergeCell ref="N13:N15"/>
    <mergeCell ref="B16:C16"/>
    <mergeCell ref="B10:C10"/>
    <mergeCell ref="B12:C12"/>
    <mergeCell ref="A13:A15"/>
    <mergeCell ref="B13:B15"/>
    <mergeCell ref="C13:C15"/>
    <mergeCell ref="E13:E15"/>
    <mergeCell ref="G13:G15"/>
    <mergeCell ref="L13:L15"/>
    <mergeCell ref="B18:C18"/>
    <mergeCell ref="B20:C20"/>
    <mergeCell ref="L5:L7"/>
    <mergeCell ref="M5:M7"/>
    <mergeCell ref="N5:N7"/>
    <mergeCell ref="B8:C8"/>
    <mergeCell ref="A5:A7"/>
    <mergeCell ref="B5:B7"/>
    <mergeCell ref="C5:C7"/>
    <mergeCell ref="E5:E7"/>
    <mergeCell ref="G5:G7"/>
    <mergeCell ref="N1:N2"/>
    <mergeCell ref="B4:C4"/>
    <mergeCell ref="G1:G2"/>
    <mergeCell ref="H1:I1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EE6C"/>
  </sheetPr>
  <dimension ref="A1:E34"/>
  <sheetViews>
    <sheetView view="pageBreakPreview" zoomScale="60" zoomScaleNormal="80" workbookViewId="0">
      <selection activeCell="R39" sqref="R39"/>
    </sheetView>
  </sheetViews>
  <sheetFormatPr defaultRowHeight="15" x14ac:dyDescent="0.25"/>
  <cols>
    <col min="1" max="1" width="4" customWidth="1"/>
    <col min="2" max="2" width="59.85546875" customWidth="1"/>
    <col min="3" max="3" width="27.5703125" style="144" customWidth="1"/>
    <col min="4" max="4" width="28.5703125" style="144" customWidth="1"/>
    <col min="5" max="5" width="59.5703125" style="144" customWidth="1"/>
  </cols>
  <sheetData>
    <row r="1" spans="1:5" ht="83.25" customHeight="1" thickBot="1" x14ac:dyDescent="0.3">
      <c r="A1" s="636" t="s">
        <v>0</v>
      </c>
      <c r="B1" s="640" t="s">
        <v>1</v>
      </c>
      <c r="C1" s="640" t="s">
        <v>3</v>
      </c>
      <c r="D1" s="640" t="s">
        <v>5</v>
      </c>
      <c r="E1" s="640" t="s">
        <v>7</v>
      </c>
    </row>
    <row r="2" spans="1:5" ht="15.75" hidden="1" thickBot="1" x14ac:dyDescent="0.3">
      <c r="A2" s="637"/>
      <c r="B2" s="641"/>
      <c r="C2" s="641"/>
      <c r="D2" s="641"/>
      <c r="E2" s="641"/>
    </row>
    <row r="3" spans="1:5" ht="57" customHeight="1" thickBot="1" x14ac:dyDescent="0.3">
      <c r="A3" s="636">
        <v>1</v>
      </c>
      <c r="B3" s="638" t="s">
        <v>1062</v>
      </c>
      <c r="C3" s="640">
        <v>8374.7000000000007</v>
      </c>
      <c r="D3" s="640">
        <v>66.757000000000005</v>
      </c>
      <c r="E3" s="642" t="s">
        <v>427</v>
      </c>
    </row>
    <row r="4" spans="1:5" ht="15.75" hidden="1" thickBot="1" x14ac:dyDescent="0.3">
      <c r="A4" s="637"/>
      <c r="B4" s="639"/>
      <c r="C4" s="641"/>
      <c r="D4" s="641"/>
      <c r="E4" s="643"/>
    </row>
    <row r="5" spans="1:5" ht="48.75" customHeight="1" thickBot="1" x14ac:dyDescent="0.3">
      <c r="A5" s="636">
        <v>2</v>
      </c>
      <c r="B5" s="638" t="s">
        <v>1066</v>
      </c>
      <c r="C5" s="640">
        <v>113.749</v>
      </c>
      <c r="D5" s="640">
        <v>19.262</v>
      </c>
      <c r="E5" s="642" t="s">
        <v>524</v>
      </c>
    </row>
    <row r="6" spans="1:5" ht="15.75" hidden="1" thickBot="1" x14ac:dyDescent="0.3">
      <c r="A6" s="637"/>
      <c r="B6" s="639"/>
      <c r="C6" s="641"/>
      <c r="D6" s="641"/>
      <c r="E6" s="643"/>
    </row>
    <row r="7" spans="1:5" ht="48.75" customHeight="1" thickBot="1" x14ac:dyDescent="0.3">
      <c r="A7" s="636">
        <v>3</v>
      </c>
      <c r="B7" s="638" t="s">
        <v>1070</v>
      </c>
      <c r="C7" s="640">
        <v>129.47999999999999</v>
      </c>
      <c r="D7" s="640">
        <v>10.157</v>
      </c>
      <c r="E7" s="642" t="s">
        <v>524</v>
      </c>
    </row>
    <row r="8" spans="1:5" ht="15.75" hidden="1" thickBot="1" x14ac:dyDescent="0.3">
      <c r="A8" s="637"/>
      <c r="B8" s="639"/>
      <c r="C8" s="641"/>
      <c r="D8" s="641"/>
      <c r="E8" s="643"/>
    </row>
    <row r="9" spans="1:5" ht="41.25" customHeight="1" thickBot="1" x14ac:dyDescent="0.3">
      <c r="A9" s="636">
        <v>4</v>
      </c>
      <c r="B9" s="638" t="s">
        <v>1072</v>
      </c>
      <c r="C9" s="640">
        <v>4.3040000000000003</v>
      </c>
      <c r="D9" s="640">
        <v>0.879</v>
      </c>
      <c r="E9" s="642" t="s">
        <v>524</v>
      </c>
    </row>
    <row r="10" spans="1:5" ht="15.75" hidden="1" thickBot="1" x14ac:dyDescent="0.3">
      <c r="A10" s="637"/>
      <c r="B10" s="639"/>
      <c r="C10" s="641"/>
      <c r="D10" s="641"/>
      <c r="E10" s="643"/>
    </row>
    <row r="11" spans="1:5" ht="46.5" customHeight="1" thickBot="1" x14ac:dyDescent="0.3">
      <c r="A11" s="636">
        <v>5</v>
      </c>
      <c r="B11" s="638" t="s">
        <v>1074</v>
      </c>
      <c r="C11" s="640">
        <v>49.051000000000002</v>
      </c>
      <c r="D11" s="640">
        <v>2.6539999999999999</v>
      </c>
      <c r="E11" s="642" t="s">
        <v>524</v>
      </c>
    </row>
    <row r="12" spans="1:5" ht="15.75" hidden="1" thickBot="1" x14ac:dyDescent="0.3">
      <c r="A12" s="637"/>
      <c r="B12" s="639"/>
      <c r="C12" s="641"/>
      <c r="D12" s="641"/>
      <c r="E12" s="643"/>
    </row>
    <row r="13" spans="1:5" ht="36.75" customHeight="1" thickBot="1" x14ac:dyDescent="0.3">
      <c r="A13" s="636">
        <v>6</v>
      </c>
      <c r="B13" s="638" t="s">
        <v>1077</v>
      </c>
      <c r="C13" s="640">
        <v>27.896999999999998</v>
      </c>
      <c r="D13" s="640">
        <v>3.3330000000000002</v>
      </c>
      <c r="E13" s="642" t="s">
        <v>524</v>
      </c>
    </row>
    <row r="14" spans="1:5" ht="15.75" hidden="1" thickBot="1" x14ac:dyDescent="0.3">
      <c r="A14" s="637"/>
      <c r="B14" s="639"/>
      <c r="C14" s="641"/>
      <c r="D14" s="641"/>
      <c r="E14" s="643"/>
    </row>
    <row r="15" spans="1:5" ht="42" customHeight="1" thickBot="1" x14ac:dyDescent="0.3">
      <c r="A15" s="636">
        <v>7</v>
      </c>
      <c r="B15" s="638" t="s">
        <v>1079</v>
      </c>
      <c r="C15" s="640">
        <v>10588.367</v>
      </c>
      <c r="D15" s="640">
        <v>35.634999999999998</v>
      </c>
      <c r="E15" s="642" t="s">
        <v>427</v>
      </c>
    </row>
    <row r="16" spans="1:5" ht="15.75" hidden="1" thickBot="1" x14ac:dyDescent="0.3">
      <c r="A16" s="637"/>
      <c r="B16" s="639"/>
      <c r="C16" s="641"/>
      <c r="D16" s="641"/>
      <c r="E16" s="643"/>
    </row>
    <row r="17" spans="1:5" ht="51" customHeight="1" thickBot="1" x14ac:dyDescent="0.3">
      <c r="A17" s="636">
        <v>8</v>
      </c>
      <c r="B17" s="636" t="s">
        <v>1300</v>
      </c>
      <c r="C17" s="640">
        <v>975.10699999999997</v>
      </c>
      <c r="D17" s="640">
        <v>366.02600000000001</v>
      </c>
      <c r="E17" s="642" t="s">
        <v>428</v>
      </c>
    </row>
    <row r="18" spans="1:5" ht="15.75" hidden="1" thickBot="1" x14ac:dyDescent="0.3">
      <c r="A18" s="637"/>
      <c r="B18" s="637"/>
      <c r="C18" s="641"/>
      <c r="D18" s="641"/>
      <c r="E18" s="643"/>
    </row>
    <row r="19" spans="1:5" ht="32.25" customHeight="1" thickBot="1" x14ac:dyDescent="0.3">
      <c r="A19" s="636">
        <v>9</v>
      </c>
      <c r="B19" s="636" t="s">
        <v>1108</v>
      </c>
      <c r="C19" s="640">
        <v>216.721</v>
      </c>
      <c r="D19" s="640">
        <v>39.177</v>
      </c>
      <c r="E19" s="642" t="s">
        <v>428</v>
      </c>
    </row>
    <row r="20" spans="1:5" ht="15.75" hidden="1" thickBot="1" x14ac:dyDescent="0.3">
      <c r="A20" s="637"/>
      <c r="B20" s="637"/>
      <c r="C20" s="641"/>
      <c r="D20" s="641"/>
      <c r="E20" s="643"/>
    </row>
    <row r="21" spans="1:5" ht="66" customHeight="1" thickBot="1" x14ac:dyDescent="0.3">
      <c r="A21" s="636">
        <v>10</v>
      </c>
      <c r="B21" s="638" t="s">
        <v>1115</v>
      </c>
      <c r="C21" s="640">
        <v>163.26</v>
      </c>
      <c r="D21" s="640">
        <v>12.074999999999999</v>
      </c>
      <c r="E21" s="642" t="s">
        <v>524</v>
      </c>
    </row>
    <row r="22" spans="1:5" ht="15.75" hidden="1" thickBot="1" x14ac:dyDescent="0.3">
      <c r="A22" s="637"/>
      <c r="B22" s="639"/>
      <c r="C22" s="641"/>
      <c r="D22" s="641"/>
      <c r="E22" s="643"/>
    </row>
    <row r="23" spans="1:5" ht="51" customHeight="1" thickBot="1" x14ac:dyDescent="0.3">
      <c r="A23" s="636">
        <v>11</v>
      </c>
      <c r="B23" s="638" t="s">
        <v>1118</v>
      </c>
      <c r="C23" s="640">
        <v>5.74</v>
      </c>
      <c r="D23" s="640">
        <v>0.84499999999999997</v>
      </c>
      <c r="E23" s="642" t="s">
        <v>524</v>
      </c>
    </row>
    <row r="24" spans="1:5" ht="15.75" hidden="1" thickBot="1" x14ac:dyDescent="0.3">
      <c r="A24" s="637"/>
      <c r="B24" s="639"/>
      <c r="C24" s="641"/>
      <c r="D24" s="641"/>
      <c r="E24" s="643"/>
    </row>
    <row r="25" spans="1:5" ht="45" customHeight="1" thickBot="1" x14ac:dyDescent="0.3">
      <c r="A25" s="636">
        <v>12</v>
      </c>
      <c r="B25" s="638" t="s">
        <v>1179</v>
      </c>
      <c r="C25" s="640">
        <v>66.319999999999993</v>
      </c>
      <c r="D25" s="640">
        <v>12.27</v>
      </c>
      <c r="E25" s="642" t="s">
        <v>524</v>
      </c>
    </row>
    <row r="26" spans="1:5" ht="15.75" hidden="1" thickBot="1" x14ac:dyDescent="0.3">
      <c r="A26" s="637"/>
      <c r="B26" s="639"/>
      <c r="C26" s="641"/>
      <c r="D26" s="641"/>
      <c r="E26" s="643"/>
    </row>
    <row r="27" spans="1:5" ht="37.5" customHeight="1" thickBot="1" x14ac:dyDescent="0.3">
      <c r="A27" s="636">
        <v>13</v>
      </c>
      <c r="B27" s="638" t="s">
        <v>1127</v>
      </c>
      <c r="C27" s="640">
        <v>80.706000000000003</v>
      </c>
      <c r="D27" s="640">
        <v>10.079000000000001</v>
      </c>
      <c r="E27" s="642" t="s">
        <v>524</v>
      </c>
    </row>
    <row r="28" spans="1:5" ht="15.75" hidden="1" thickBot="1" x14ac:dyDescent="0.3">
      <c r="A28" s="637"/>
      <c r="B28" s="639"/>
      <c r="C28" s="641"/>
      <c r="D28" s="641"/>
      <c r="E28" s="643"/>
    </row>
    <row r="29" spans="1:5" ht="39" customHeight="1" thickBot="1" x14ac:dyDescent="0.3">
      <c r="A29" s="636">
        <v>14</v>
      </c>
      <c r="B29" s="638" t="s">
        <v>1131</v>
      </c>
      <c r="C29" s="640">
        <v>67.248000000000005</v>
      </c>
      <c r="D29" s="640">
        <v>12.628</v>
      </c>
      <c r="E29" s="642" t="s">
        <v>524</v>
      </c>
    </row>
    <row r="30" spans="1:5" ht="15.75" hidden="1" thickBot="1" x14ac:dyDescent="0.3">
      <c r="A30" s="637"/>
      <c r="B30" s="639"/>
      <c r="C30" s="641"/>
      <c r="D30" s="641"/>
      <c r="E30" s="643"/>
    </row>
    <row r="31" spans="1:5" ht="54" customHeight="1" thickBot="1" x14ac:dyDescent="0.3">
      <c r="A31" s="636">
        <v>15</v>
      </c>
      <c r="B31" s="638" t="s">
        <v>1186</v>
      </c>
      <c r="C31" s="640">
        <v>5310</v>
      </c>
      <c r="D31" s="640">
        <v>36.195999999999998</v>
      </c>
      <c r="E31" s="642" t="s">
        <v>1189</v>
      </c>
    </row>
    <row r="32" spans="1:5" ht="15.75" hidden="1" thickBot="1" x14ac:dyDescent="0.3">
      <c r="A32" s="637"/>
      <c r="B32" s="639"/>
      <c r="C32" s="641"/>
      <c r="D32" s="641"/>
      <c r="E32" s="643"/>
    </row>
    <row r="33" spans="1:5" ht="15.75" customHeight="1" x14ac:dyDescent="0.25">
      <c r="A33" s="644"/>
      <c r="B33" s="646" t="s">
        <v>1289</v>
      </c>
      <c r="C33" s="648">
        <v>26172.65</v>
      </c>
      <c r="D33" s="648">
        <v>627.97299999999996</v>
      </c>
      <c r="E33" s="650"/>
    </row>
    <row r="34" spans="1:5" ht="8.25" customHeight="1" thickBot="1" x14ac:dyDescent="0.3">
      <c r="A34" s="645"/>
      <c r="B34" s="647"/>
      <c r="C34" s="649"/>
      <c r="D34" s="649"/>
      <c r="E34" s="651"/>
    </row>
  </sheetData>
  <mergeCells count="85">
    <mergeCell ref="A33:A34"/>
    <mergeCell ref="B33:B34"/>
    <mergeCell ref="C33:C34"/>
    <mergeCell ref="D33:D34"/>
    <mergeCell ref="E33:E34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L39"/>
  <sheetViews>
    <sheetView view="pageBreakPreview" zoomScale="110" zoomScaleNormal="75" zoomScaleSheetLayoutView="110" workbookViewId="0">
      <selection activeCell="E23" sqref="E23"/>
    </sheetView>
  </sheetViews>
  <sheetFormatPr defaultColWidth="9.140625" defaultRowHeight="15.75" x14ac:dyDescent="0.25"/>
  <cols>
    <col min="1" max="1" width="9.140625" style="18"/>
    <col min="2" max="3" width="9.140625" style="19"/>
    <col min="4" max="4" width="11" style="19" customWidth="1"/>
    <col min="5" max="5" width="10.5703125" style="19" customWidth="1"/>
    <col min="6" max="6" width="16.5703125" style="19" customWidth="1"/>
    <col min="7" max="7" width="9.140625" style="19"/>
    <col min="8" max="16384" width="9.140625" style="18"/>
  </cols>
  <sheetData>
    <row r="1" spans="1:7" x14ac:dyDescent="0.25">
      <c r="A1" s="18" t="s">
        <v>1054</v>
      </c>
    </row>
    <row r="3" spans="1:7" x14ac:dyDescent="0.25">
      <c r="B3" s="104">
        <v>2016</v>
      </c>
      <c r="C3" s="104">
        <v>15</v>
      </c>
      <c r="D3" s="21">
        <v>400.46750689999993</v>
      </c>
      <c r="E3" s="21">
        <v>136.93320699999998</v>
      </c>
      <c r="F3" s="20" t="s">
        <v>1055</v>
      </c>
      <c r="G3" s="20">
        <v>15</v>
      </c>
    </row>
    <row r="4" spans="1:7" x14ac:dyDescent="0.25">
      <c r="B4" s="104">
        <v>2017</v>
      </c>
      <c r="C4" s="104">
        <f>38-C3</f>
        <v>23</v>
      </c>
      <c r="D4" s="21">
        <v>7286.4740000000002</v>
      </c>
      <c r="E4" s="21">
        <v>833.08535000000006</v>
      </c>
      <c r="F4" s="20" t="s">
        <v>1055</v>
      </c>
      <c r="G4" s="20">
        <v>23</v>
      </c>
    </row>
    <row r="5" spans="1:7" x14ac:dyDescent="0.25">
      <c r="B5" s="104">
        <v>2018</v>
      </c>
      <c r="C5" s="104">
        <f>68-C3-C4</f>
        <v>30</v>
      </c>
      <c r="D5" s="21">
        <v>7155.5992999999989</v>
      </c>
      <c r="E5" s="21">
        <v>2569.3701199999991</v>
      </c>
      <c r="F5" s="20" t="s">
        <v>1055</v>
      </c>
      <c r="G5" s="20">
        <v>30</v>
      </c>
    </row>
    <row r="6" spans="1:7" x14ac:dyDescent="0.25">
      <c r="B6" s="104">
        <v>2019</v>
      </c>
      <c r="C6" s="104">
        <f>117-C3-C4-C5</f>
        <v>49</v>
      </c>
      <c r="D6" s="21">
        <v>38490.896470000007</v>
      </c>
      <c r="E6" s="21">
        <v>1243.0516260000006</v>
      </c>
      <c r="F6" s="20"/>
      <c r="G6" s="20"/>
    </row>
    <row r="7" spans="1:7" x14ac:dyDescent="0.25">
      <c r="B7" s="104"/>
      <c r="C7" s="20"/>
      <c r="D7" s="21">
        <v>32920.611470000003</v>
      </c>
      <c r="E7" s="21">
        <v>1192.2871260000002</v>
      </c>
      <c r="F7" s="20" t="s">
        <v>1055</v>
      </c>
      <c r="G7" s="20">
        <v>24</v>
      </c>
    </row>
    <row r="8" spans="1:7" x14ac:dyDescent="0.25">
      <c r="B8" s="104"/>
      <c r="C8" s="20"/>
      <c r="D8" s="21">
        <v>5570.2849999999989</v>
      </c>
      <c r="E8" s="21">
        <v>50.764500000000012</v>
      </c>
      <c r="F8" s="20" t="s">
        <v>1056</v>
      </c>
      <c r="G8" s="20">
        <v>25</v>
      </c>
    </row>
    <row r="9" spans="1:7" x14ac:dyDescent="0.25">
      <c r="B9" s="104">
        <v>2020</v>
      </c>
      <c r="C9" s="104">
        <f>149-C3-C4-C5-C6</f>
        <v>32</v>
      </c>
      <c r="D9" s="21">
        <f>D10+D11</f>
        <v>9884.870604400001</v>
      </c>
      <c r="E9" s="21">
        <f>E10+E11</f>
        <v>868.90081956000017</v>
      </c>
      <c r="F9" s="20"/>
      <c r="G9" s="20"/>
    </row>
    <row r="10" spans="1:7" x14ac:dyDescent="0.25">
      <c r="B10" s="20"/>
      <c r="C10" s="20"/>
      <c r="D10" s="21">
        <v>1003.4311044000001</v>
      </c>
      <c r="E10" s="21">
        <v>291.44185656000008</v>
      </c>
      <c r="F10" s="20" t="s">
        <v>1055</v>
      </c>
      <c r="G10" s="20">
        <v>19</v>
      </c>
    </row>
    <row r="11" spans="1:7" x14ac:dyDescent="0.25">
      <c r="B11" s="20"/>
      <c r="C11" s="20"/>
      <c r="D11" s="21">
        <v>8881.4395000000004</v>
      </c>
      <c r="E11" s="21">
        <v>577.45896300000004</v>
      </c>
      <c r="F11" s="20" t="s">
        <v>1056</v>
      </c>
      <c r="G11" s="20">
        <v>13</v>
      </c>
    </row>
    <row r="12" spans="1:7" x14ac:dyDescent="0.25">
      <c r="D12" s="22"/>
      <c r="E12" s="22"/>
    </row>
    <row r="13" spans="1:7" x14ac:dyDescent="0.25">
      <c r="B13" s="104" t="s">
        <v>1057</v>
      </c>
      <c r="C13" s="104">
        <f>C3+C4+C5+C6+C9</f>
        <v>149</v>
      </c>
      <c r="D13" s="105">
        <f>D3+D4+D5+D6+D9</f>
        <v>63218.307881300003</v>
      </c>
      <c r="E13" s="105">
        <f>E3+E4+E5+E6+E9</f>
        <v>5651.3411225599993</v>
      </c>
      <c r="F13" s="104"/>
      <c r="G13" s="104"/>
    </row>
    <row r="14" spans="1:7" x14ac:dyDescent="0.25">
      <c r="B14" s="104"/>
      <c r="C14" s="104"/>
      <c r="D14" s="105">
        <f>D3+D4+D5+D7+D10</f>
        <v>48766.583381299999</v>
      </c>
      <c r="E14" s="105">
        <f>E3+E4+E5+E7+E10</f>
        <v>5023.1176595599991</v>
      </c>
      <c r="F14" s="104" t="s">
        <v>1055</v>
      </c>
      <c r="G14" s="104">
        <f>G3+G4+G5+G7+G10</f>
        <v>111</v>
      </c>
    </row>
    <row r="15" spans="1:7" x14ac:dyDescent="0.25">
      <c r="B15" s="104"/>
      <c r="C15" s="104"/>
      <c r="D15" s="105">
        <f>D8+D11</f>
        <v>14451.7245</v>
      </c>
      <c r="E15" s="105">
        <f>E8+E11</f>
        <v>628.22346300000004</v>
      </c>
      <c r="F15" s="104" t="s">
        <v>1056</v>
      </c>
      <c r="G15" s="104">
        <f>G8+G11</f>
        <v>38</v>
      </c>
    </row>
    <row r="16" spans="1:7" x14ac:dyDescent="0.25">
      <c r="D16" s="22"/>
      <c r="E16" s="22"/>
    </row>
    <row r="17" spans="2:7" x14ac:dyDescent="0.25">
      <c r="B17" s="104">
        <v>2021</v>
      </c>
      <c r="C17" s="104">
        <v>32</v>
      </c>
      <c r="D17" s="21">
        <f>D18+D19</f>
        <v>21092.256860000001</v>
      </c>
      <c r="E17" s="21">
        <f>E18+E19</f>
        <v>166.390479</v>
      </c>
      <c r="F17" s="20"/>
      <c r="G17" s="20"/>
    </row>
    <row r="18" spans="2:7" x14ac:dyDescent="0.25">
      <c r="B18" s="20"/>
      <c r="C18" s="104"/>
      <c r="D18" s="21">
        <v>324.48086000000001</v>
      </c>
      <c r="E18" s="21">
        <v>36.284168000000001</v>
      </c>
      <c r="F18" s="20" t="s">
        <v>1055</v>
      </c>
      <c r="G18" s="20">
        <v>5</v>
      </c>
    </row>
    <row r="19" spans="2:7" x14ac:dyDescent="0.25">
      <c r="B19" s="20"/>
      <c r="C19" s="104"/>
      <c r="D19" s="21">
        <v>20767.776000000002</v>
      </c>
      <c r="E19" s="21">
        <v>130.10631100000001</v>
      </c>
      <c r="F19" s="20" t="s">
        <v>1056</v>
      </c>
      <c r="G19" s="20">
        <v>3</v>
      </c>
    </row>
    <row r="20" spans="2:7" x14ac:dyDescent="0.25">
      <c r="C20" s="151"/>
      <c r="D20" s="22"/>
      <c r="E20" s="22"/>
    </row>
    <row r="21" spans="2:7" x14ac:dyDescent="0.25">
      <c r="B21" s="104">
        <v>2022</v>
      </c>
      <c r="C21" s="104">
        <v>7</v>
      </c>
      <c r="D21" s="21">
        <f>D22+D23</f>
        <v>21092.256860000001</v>
      </c>
      <c r="E21" s="21">
        <f>E22+E23</f>
        <v>166.390479</v>
      </c>
      <c r="F21" s="20"/>
      <c r="G21" s="20"/>
    </row>
    <row r="22" spans="2:7" x14ac:dyDescent="0.25">
      <c r="B22" s="20"/>
      <c r="C22" s="20"/>
      <c r="D22" s="21">
        <v>324.48086000000001</v>
      </c>
      <c r="E22" s="21">
        <v>36.284168000000001</v>
      </c>
      <c r="F22" s="20" t="s">
        <v>1055</v>
      </c>
      <c r="G22" s="20">
        <v>5</v>
      </c>
    </row>
    <row r="23" spans="2:7" x14ac:dyDescent="0.25">
      <c r="B23" s="20"/>
      <c r="C23" s="20"/>
      <c r="D23" s="21">
        <v>20767.776000000002</v>
      </c>
      <c r="E23" s="21">
        <v>130.10631100000001</v>
      </c>
      <c r="F23" s="20" t="s">
        <v>1056</v>
      </c>
      <c r="G23" s="20">
        <v>3</v>
      </c>
    </row>
    <row r="26" spans="2:7" x14ac:dyDescent="0.25">
      <c r="B26" s="104" t="s">
        <v>1057</v>
      </c>
      <c r="C26" s="104">
        <v>188</v>
      </c>
      <c r="D26" s="105">
        <f>D27+D28</f>
        <v>84310.564741300012</v>
      </c>
      <c r="E26" s="105">
        <f>E27+E28</f>
        <v>5817.731601559999</v>
      </c>
      <c r="F26" s="104"/>
      <c r="G26" s="104"/>
    </row>
    <row r="27" spans="2:7" x14ac:dyDescent="0.25">
      <c r="B27" s="104"/>
      <c r="C27" s="104"/>
      <c r="D27" s="105">
        <f>D14+D18</f>
        <v>49091.064241300002</v>
      </c>
      <c r="E27" s="105">
        <f>E14+E18</f>
        <v>5059.4018275599992</v>
      </c>
      <c r="F27" s="104" t="s">
        <v>1055</v>
      </c>
      <c r="G27" s="104">
        <f>G14+G18</f>
        <v>116</v>
      </c>
    </row>
    <row r="28" spans="2:7" x14ac:dyDescent="0.25">
      <c r="B28" s="104"/>
      <c r="C28" s="104"/>
      <c r="D28" s="105">
        <f>D15+D19</f>
        <v>35219.500500000002</v>
      </c>
      <c r="E28" s="105">
        <f>E15+E19</f>
        <v>758.32977400000004</v>
      </c>
      <c r="F28" s="104" t="s">
        <v>1056</v>
      </c>
      <c r="G28" s="104">
        <f>G15+G19</f>
        <v>41</v>
      </c>
    </row>
    <row r="39" spans="12:12" x14ac:dyDescent="0.25">
      <c r="L39" s="32"/>
    </row>
  </sheetData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34"/>
  <sheetViews>
    <sheetView view="pageBreakPreview" topLeftCell="A301" zoomScale="60" zoomScaleNormal="100" workbookViewId="0">
      <selection activeCell="J323" sqref="J323"/>
    </sheetView>
  </sheetViews>
  <sheetFormatPr defaultRowHeight="15" x14ac:dyDescent="0.25"/>
  <cols>
    <col min="1" max="1" width="5.5703125" customWidth="1"/>
    <col min="2" max="2" width="40" customWidth="1"/>
    <col min="3" max="3" width="37.140625" customWidth="1"/>
    <col min="4" max="4" width="43.5703125" customWidth="1"/>
    <col min="5" max="5" width="41" customWidth="1"/>
    <col min="6" max="6" width="18.28515625" customWidth="1"/>
    <col min="7" max="7" width="29.5703125" customWidth="1"/>
    <col min="8" max="8" width="13.5703125" customWidth="1"/>
    <col min="9" max="9" width="21.5703125" customWidth="1"/>
    <col min="10" max="10" width="28.85546875" customWidth="1"/>
    <col min="11" max="11" width="15.28515625" customWidth="1"/>
    <col min="12" max="12" width="23.28515625" customWidth="1"/>
    <col min="13" max="13" width="30" customWidth="1"/>
    <col min="14" max="14" width="38.85546875" customWidth="1"/>
  </cols>
  <sheetData>
    <row r="1" spans="1:14" ht="15.75" x14ac:dyDescent="0.25">
      <c r="A1" s="413" t="s">
        <v>0</v>
      </c>
      <c r="B1" s="415" t="s">
        <v>530</v>
      </c>
      <c r="C1" s="415" t="s">
        <v>1</v>
      </c>
      <c r="D1" s="415" t="s">
        <v>2</v>
      </c>
      <c r="E1" s="415" t="s">
        <v>6</v>
      </c>
      <c r="F1" s="417" t="s">
        <v>3</v>
      </c>
      <c r="G1" s="415" t="s">
        <v>7</v>
      </c>
      <c r="H1" s="415" t="s">
        <v>4</v>
      </c>
      <c r="I1" s="415"/>
      <c r="J1" s="417" t="s">
        <v>5</v>
      </c>
      <c r="K1" s="415" t="s">
        <v>489</v>
      </c>
      <c r="L1" s="419" t="s">
        <v>8</v>
      </c>
      <c r="M1" s="419" t="s">
        <v>9</v>
      </c>
      <c r="N1" s="603" t="s">
        <v>10</v>
      </c>
    </row>
    <row r="2" spans="1:14" ht="15.75" x14ac:dyDescent="0.25">
      <c r="A2" s="611"/>
      <c r="B2" s="604"/>
      <c r="C2" s="604"/>
      <c r="D2" s="604"/>
      <c r="E2" s="604"/>
      <c r="F2" s="606"/>
      <c r="G2" s="604"/>
      <c r="H2" s="112" t="s">
        <v>11</v>
      </c>
      <c r="I2" s="112" t="s">
        <v>12</v>
      </c>
      <c r="J2" s="606"/>
      <c r="K2" s="604"/>
      <c r="L2" s="607"/>
      <c r="M2" s="607"/>
      <c r="N2" s="605"/>
    </row>
    <row r="3" spans="1:14" ht="56.25" x14ac:dyDescent="0.25">
      <c r="A3" s="108">
        <v>1</v>
      </c>
      <c r="B3" s="108" t="s">
        <v>17</v>
      </c>
      <c r="C3" s="108" t="s">
        <v>14</v>
      </c>
      <c r="D3" s="108" t="s">
        <v>15</v>
      </c>
      <c r="E3" s="101" t="s">
        <v>18</v>
      </c>
      <c r="F3" s="102">
        <v>13.754741900000001</v>
      </c>
      <c r="G3" s="101" t="s">
        <v>19</v>
      </c>
      <c r="H3" s="101" t="s">
        <v>16</v>
      </c>
      <c r="I3" s="101">
        <v>141875</v>
      </c>
      <c r="J3" s="102">
        <v>2.506507</v>
      </c>
      <c r="K3" s="108">
        <v>5</v>
      </c>
      <c r="L3" s="101">
        <v>2016</v>
      </c>
      <c r="M3" s="101" t="s">
        <v>20</v>
      </c>
      <c r="N3" s="101" t="s">
        <v>21</v>
      </c>
    </row>
    <row r="4" spans="1:14" ht="19.5" x14ac:dyDescent="0.25">
      <c r="A4" s="108"/>
      <c r="B4" s="431" t="s">
        <v>22</v>
      </c>
      <c r="C4" s="431"/>
      <c r="D4" s="106"/>
      <c r="E4" s="47"/>
      <c r="F4" s="37">
        <f>SUM(F3)</f>
        <v>13.754741900000001</v>
      </c>
      <c r="G4" s="47"/>
      <c r="H4" s="47"/>
      <c r="I4" s="47"/>
      <c r="J4" s="37">
        <f>SUM(J3)</f>
        <v>2.506507</v>
      </c>
      <c r="K4" s="106"/>
      <c r="L4" s="47"/>
      <c r="M4" s="101"/>
      <c r="N4" s="101"/>
    </row>
    <row r="5" spans="1:14" ht="37.5" x14ac:dyDescent="0.25">
      <c r="A5" s="452">
        <v>3</v>
      </c>
      <c r="B5" s="452" t="s">
        <v>1279</v>
      </c>
      <c r="C5" s="452" t="s">
        <v>35</v>
      </c>
      <c r="D5" s="108" t="s">
        <v>36</v>
      </c>
      <c r="E5" s="449" t="s">
        <v>38</v>
      </c>
      <c r="F5" s="87">
        <v>5</v>
      </c>
      <c r="G5" s="449" t="s">
        <v>56</v>
      </c>
      <c r="H5" s="101" t="s">
        <v>37</v>
      </c>
      <c r="I5" s="101">
        <v>120.07</v>
      </c>
      <c r="J5" s="87">
        <v>0.73530899999999999</v>
      </c>
      <c r="K5" s="108">
        <v>7</v>
      </c>
      <c r="L5" s="449">
        <v>2016</v>
      </c>
      <c r="M5" s="449" t="s">
        <v>20</v>
      </c>
      <c r="N5" s="449" t="s">
        <v>21</v>
      </c>
    </row>
    <row r="6" spans="1:14" ht="56.25" x14ac:dyDescent="0.25">
      <c r="A6" s="571"/>
      <c r="B6" s="571"/>
      <c r="C6" s="571"/>
      <c r="D6" s="108" t="s">
        <v>39</v>
      </c>
      <c r="E6" s="490"/>
      <c r="F6" s="87">
        <v>7</v>
      </c>
      <c r="G6" s="490"/>
      <c r="H6" s="101" t="s">
        <v>37</v>
      </c>
      <c r="I6" s="101">
        <v>144.6</v>
      </c>
      <c r="J6" s="87">
        <v>0.88553000000000004</v>
      </c>
      <c r="K6" s="108">
        <v>8</v>
      </c>
      <c r="L6" s="490"/>
      <c r="M6" s="490"/>
      <c r="N6" s="490"/>
    </row>
    <row r="7" spans="1:14" ht="37.5" x14ac:dyDescent="0.25">
      <c r="A7" s="434"/>
      <c r="B7" s="434"/>
      <c r="C7" s="434"/>
      <c r="D7" s="108" t="s">
        <v>40</v>
      </c>
      <c r="E7" s="433"/>
      <c r="F7" s="87">
        <v>1.5</v>
      </c>
      <c r="G7" s="433"/>
      <c r="H7" s="101" t="s">
        <v>16</v>
      </c>
      <c r="I7" s="101">
        <v>19950</v>
      </c>
      <c r="J7" s="87">
        <v>0.25861200000000001</v>
      </c>
      <c r="K7" s="108">
        <v>6</v>
      </c>
      <c r="L7" s="433"/>
      <c r="M7" s="433"/>
      <c r="N7" s="433"/>
    </row>
    <row r="8" spans="1:14" ht="19.5" x14ac:dyDescent="0.25">
      <c r="A8" s="108"/>
      <c r="B8" s="612" t="s">
        <v>22</v>
      </c>
      <c r="C8" s="613"/>
      <c r="D8" s="106"/>
      <c r="E8" s="47"/>
      <c r="F8" s="88">
        <f>SUM(F5:F7)</f>
        <v>13.5</v>
      </c>
      <c r="G8" s="47"/>
      <c r="H8" s="47"/>
      <c r="I8" s="47"/>
      <c r="J8" s="88">
        <f>SUM(J5:J7)</f>
        <v>1.8794510000000002</v>
      </c>
      <c r="K8" s="106"/>
      <c r="L8" s="47"/>
      <c r="M8" s="101"/>
      <c r="N8" s="101"/>
    </row>
    <row r="9" spans="1:14" ht="93.75" x14ac:dyDescent="0.25">
      <c r="A9" s="108">
        <v>5</v>
      </c>
      <c r="B9" s="108" t="s">
        <v>47</v>
      </c>
      <c r="C9" s="49" t="s">
        <v>45</v>
      </c>
      <c r="D9" s="108" t="s">
        <v>46</v>
      </c>
      <c r="E9" s="101" t="s">
        <v>48</v>
      </c>
      <c r="F9" s="87">
        <v>25.08</v>
      </c>
      <c r="G9" s="101" t="s">
        <v>26</v>
      </c>
      <c r="H9" s="101" t="s">
        <v>16</v>
      </c>
      <c r="I9" s="101">
        <v>253950</v>
      </c>
      <c r="J9" s="87">
        <v>8.36</v>
      </c>
      <c r="K9" s="108">
        <v>3</v>
      </c>
      <c r="L9" s="101">
        <v>2016</v>
      </c>
      <c r="M9" s="101" t="s">
        <v>1068</v>
      </c>
      <c r="N9" s="101" t="s">
        <v>21</v>
      </c>
    </row>
    <row r="10" spans="1:14" ht="19.5" x14ac:dyDescent="0.25">
      <c r="A10" s="108"/>
      <c r="B10" s="612" t="s">
        <v>22</v>
      </c>
      <c r="C10" s="613"/>
      <c r="D10" s="106"/>
      <c r="E10" s="47"/>
      <c r="F10" s="88">
        <f>SUM(F9)</f>
        <v>25.08</v>
      </c>
      <c r="G10" s="47"/>
      <c r="H10" s="47"/>
      <c r="I10" s="47"/>
      <c r="J10" s="88">
        <f>SUM(J9)</f>
        <v>8.36</v>
      </c>
      <c r="K10" s="106"/>
      <c r="L10" s="47"/>
      <c r="M10" s="101"/>
      <c r="N10" s="101"/>
    </row>
    <row r="11" spans="1:14" ht="56.25" x14ac:dyDescent="0.25">
      <c r="A11" s="108">
        <v>6</v>
      </c>
      <c r="B11" s="108" t="s">
        <v>52</v>
      </c>
      <c r="C11" s="108" t="s">
        <v>50</v>
      </c>
      <c r="D11" s="108" t="s">
        <v>51</v>
      </c>
      <c r="E11" s="101" t="s">
        <v>459</v>
      </c>
      <c r="F11" s="87">
        <v>168.737765</v>
      </c>
      <c r="G11" s="101" t="s">
        <v>26</v>
      </c>
      <c r="H11" s="101" t="s">
        <v>16</v>
      </c>
      <c r="I11" s="101">
        <v>4069677</v>
      </c>
      <c r="J11" s="87">
        <v>52.344185000000003</v>
      </c>
      <c r="K11" s="108">
        <v>4</v>
      </c>
      <c r="L11" s="101">
        <v>2016</v>
      </c>
      <c r="M11" s="101" t="s">
        <v>20</v>
      </c>
      <c r="N11" s="101" t="s">
        <v>21</v>
      </c>
    </row>
    <row r="12" spans="1:14" ht="19.5" x14ac:dyDescent="0.25">
      <c r="A12" s="108"/>
      <c r="B12" s="612" t="s">
        <v>22</v>
      </c>
      <c r="C12" s="613"/>
      <c r="D12" s="106"/>
      <c r="E12" s="47"/>
      <c r="F12" s="88">
        <f>SUM(F11)</f>
        <v>168.737765</v>
      </c>
      <c r="G12" s="47"/>
      <c r="H12" s="47"/>
      <c r="I12" s="47"/>
      <c r="J12" s="88">
        <f>SUM(J11)</f>
        <v>52.344185000000003</v>
      </c>
      <c r="K12" s="106"/>
      <c r="L12" s="47"/>
      <c r="M12" s="101"/>
      <c r="N12" s="101"/>
    </row>
    <row r="13" spans="1:14" ht="37.5" x14ac:dyDescent="0.25">
      <c r="A13" s="426">
        <v>7</v>
      </c>
      <c r="B13" s="426" t="s">
        <v>55</v>
      </c>
      <c r="C13" s="426" t="s">
        <v>54</v>
      </c>
      <c r="D13" s="108" t="s">
        <v>42</v>
      </c>
      <c r="E13" s="427" t="s">
        <v>38</v>
      </c>
      <c r="F13" s="87">
        <v>5.6</v>
      </c>
      <c r="G13" s="427" t="s">
        <v>56</v>
      </c>
      <c r="H13" s="101" t="s">
        <v>37</v>
      </c>
      <c r="I13" s="101">
        <v>134.47999999999999</v>
      </c>
      <c r="J13" s="87">
        <v>0.82355599999999995</v>
      </c>
      <c r="K13" s="108">
        <v>7</v>
      </c>
      <c r="L13" s="101">
        <v>2016</v>
      </c>
      <c r="M13" s="427" t="s">
        <v>43</v>
      </c>
      <c r="N13" s="427" t="s">
        <v>21</v>
      </c>
    </row>
    <row r="14" spans="1:14" ht="56.25" x14ac:dyDescent="0.25">
      <c r="A14" s="426"/>
      <c r="B14" s="426"/>
      <c r="C14" s="426"/>
      <c r="D14" s="108" t="s">
        <v>39</v>
      </c>
      <c r="E14" s="427"/>
      <c r="F14" s="87">
        <v>7</v>
      </c>
      <c r="G14" s="427"/>
      <c r="H14" s="101" t="s">
        <v>37</v>
      </c>
      <c r="I14" s="101">
        <v>146.5</v>
      </c>
      <c r="J14" s="87">
        <v>0.89716600000000002</v>
      </c>
      <c r="K14" s="108">
        <v>8</v>
      </c>
      <c r="L14" s="101">
        <v>2016</v>
      </c>
      <c r="M14" s="427"/>
      <c r="N14" s="427"/>
    </row>
    <row r="15" spans="1:14" ht="37.5" x14ac:dyDescent="0.25">
      <c r="A15" s="426"/>
      <c r="B15" s="426"/>
      <c r="C15" s="426"/>
      <c r="D15" s="108" t="s">
        <v>40</v>
      </c>
      <c r="E15" s="427"/>
      <c r="F15" s="87">
        <v>1.5</v>
      </c>
      <c r="G15" s="427"/>
      <c r="H15" s="101" t="s">
        <v>16</v>
      </c>
      <c r="I15" s="101">
        <v>23615</v>
      </c>
      <c r="J15" s="87">
        <v>0.30612099999999998</v>
      </c>
      <c r="K15" s="108">
        <v>5</v>
      </c>
      <c r="L15" s="101">
        <v>2016</v>
      </c>
      <c r="M15" s="427"/>
      <c r="N15" s="427"/>
    </row>
    <row r="16" spans="1:14" ht="19.5" x14ac:dyDescent="0.25">
      <c r="A16" s="108"/>
      <c r="B16" s="431" t="s">
        <v>22</v>
      </c>
      <c r="C16" s="431"/>
      <c r="D16" s="106"/>
      <c r="E16" s="47"/>
      <c r="F16" s="88">
        <f>SUM(F13:F15)</f>
        <v>14.1</v>
      </c>
      <c r="G16" s="47"/>
      <c r="H16" s="47"/>
      <c r="I16" s="47"/>
      <c r="J16" s="88">
        <f>SUM(J13:J15)</f>
        <v>2.026843</v>
      </c>
      <c r="K16" s="106"/>
      <c r="L16" s="47"/>
      <c r="M16" s="101"/>
      <c r="N16" s="101"/>
    </row>
    <row r="17" spans="1:14" ht="37.5" x14ac:dyDescent="0.25">
      <c r="A17" s="108">
        <v>8</v>
      </c>
      <c r="B17" s="108" t="s">
        <v>60</v>
      </c>
      <c r="C17" s="108" t="s">
        <v>58</v>
      </c>
      <c r="D17" s="108" t="s">
        <v>59</v>
      </c>
      <c r="E17" s="101" t="s">
        <v>60</v>
      </c>
      <c r="F17" s="87">
        <v>19.53</v>
      </c>
      <c r="G17" s="101" t="s">
        <v>26</v>
      </c>
      <c r="H17" s="101" t="s">
        <v>37</v>
      </c>
      <c r="I17" s="101">
        <v>1063.0999999999999</v>
      </c>
      <c r="J17" s="87">
        <v>12.95515</v>
      </c>
      <c r="K17" s="108">
        <v>1.5</v>
      </c>
      <c r="L17" s="101">
        <v>2016</v>
      </c>
      <c r="M17" s="101" t="s">
        <v>446</v>
      </c>
      <c r="N17" s="101" t="s">
        <v>21</v>
      </c>
    </row>
    <row r="18" spans="1:14" ht="19.5" x14ac:dyDescent="0.25">
      <c r="A18" s="108"/>
      <c r="B18" s="431" t="s">
        <v>22</v>
      </c>
      <c r="C18" s="431"/>
      <c r="D18" s="106"/>
      <c r="E18" s="47"/>
      <c r="F18" s="88">
        <f>SUM(F17)</f>
        <v>19.53</v>
      </c>
      <c r="G18" s="47"/>
      <c r="H18" s="47"/>
      <c r="I18" s="47"/>
      <c r="J18" s="88">
        <f>SUM(J17)</f>
        <v>12.95515</v>
      </c>
      <c r="K18" s="106"/>
      <c r="L18" s="47"/>
      <c r="M18" s="101"/>
      <c r="N18" s="101"/>
    </row>
    <row r="19" spans="1:14" ht="93.75" x14ac:dyDescent="0.25">
      <c r="A19" s="108">
        <v>11</v>
      </c>
      <c r="B19" s="108" t="s">
        <v>71</v>
      </c>
      <c r="C19" s="108" t="s">
        <v>69</v>
      </c>
      <c r="D19" s="108" t="s">
        <v>70</v>
      </c>
      <c r="E19" s="101" t="s">
        <v>18</v>
      </c>
      <c r="F19" s="87">
        <v>2.5686</v>
      </c>
      <c r="G19" s="101" t="s">
        <v>72</v>
      </c>
      <c r="H19" s="101" t="s">
        <v>16</v>
      </c>
      <c r="I19" s="101">
        <v>31558</v>
      </c>
      <c r="J19" s="87">
        <v>0.64599300000000004</v>
      </c>
      <c r="K19" s="108">
        <v>4</v>
      </c>
      <c r="L19" s="101">
        <v>2016</v>
      </c>
      <c r="M19" s="101" t="s">
        <v>1148</v>
      </c>
      <c r="N19" s="101" t="s">
        <v>21</v>
      </c>
    </row>
    <row r="20" spans="1:14" ht="19.5" x14ac:dyDescent="0.25">
      <c r="A20" s="108"/>
      <c r="B20" s="431" t="s">
        <v>22</v>
      </c>
      <c r="C20" s="431"/>
      <c r="D20" s="106"/>
      <c r="E20" s="47"/>
      <c r="F20" s="88">
        <f>SUM(F19)</f>
        <v>2.5686</v>
      </c>
      <c r="G20" s="47"/>
      <c r="H20" s="47"/>
      <c r="I20" s="47"/>
      <c r="J20" s="88">
        <f>SUM(J19)</f>
        <v>0.64599300000000004</v>
      </c>
      <c r="K20" s="106"/>
      <c r="L20" s="47"/>
      <c r="M20" s="101"/>
      <c r="N20" s="101"/>
    </row>
    <row r="21" spans="1:14" ht="93.75" x14ac:dyDescent="0.25">
      <c r="A21" s="108">
        <v>12</v>
      </c>
      <c r="B21" s="108" t="s">
        <v>71</v>
      </c>
      <c r="C21" s="108" t="s">
        <v>73</v>
      </c>
      <c r="D21" s="108" t="s">
        <v>70</v>
      </c>
      <c r="E21" s="101" t="s">
        <v>18</v>
      </c>
      <c r="F21" s="87">
        <v>10.624599999999999</v>
      </c>
      <c r="G21" s="101" t="s">
        <v>72</v>
      </c>
      <c r="H21" s="101" t="s">
        <v>16</v>
      </c>
      <c r="I21" s="101">
        <v>88827</v>
      </c>
      <c r="J21" s="87">
        <v>2.359245</v>
      </c>
      <c r="K21" s="108">
        <v>4.5</v>
      </c>
      <c r="L21" s="101">
        <v>2016</v>
      </c>
      <c r="M21" s="101" t="s">
        <v>466</v>
      </c>
      <c r="N21" s="101" t="s">
        <v>21</v>
      </c>
    </row>
    <row r="22" spans="1:14" ht="19.5" x14ac:dyDescent="0.25">
      <c r="A22" s="108"/>
      <c r="B22" s="431" t="s">
        <v>22</v>
      </c>
      <c r="C22" s="431"/>
      <c r="D22" s="106"/>
      <c r="E22" s="47"/>
      <c r="F22" s="88">
        <f>SUM(F21)</f>
        <v>10.624599999999999</v>
      </c>
      <c r="G22" s="47"/>
      <c r="H22" s="47"/>
      <c r="I22" s="47"/>
      <c r="J22" s="88">
        <f>SUM(J21)</f>
        <v>2.359245</v>
      </c>
      <c r="K22" s="106"/>
      <c r="L22" s="47"/>
      <c r="M22" s="101"/>
      <c r="N22" s="101"/>
    </row>
    <row r="23" spans="1:14" ht="93.75" x14ac:dyDescent="0.25">
      <c r="A23" s="108">
        <v>13</v>
      </c>
      <c r="B23" s="108" t="s">
        <v>71</v>
      </c>
      <c r="C23" s="108" t="s">
        <v>74</v>
      </c>
      <c r="D23" s="108" t="s">
        <v>70</v>
      </c>
      <c r="E23" s="101" t="s">
        <v>18</v>
      </c>
      <c r="F23" s="87">
        <v>5.2</v>
      </c>
      <c r="G23" s="101" t="s">
        <v>72</v>
      </c>
      <c r="H23" s="101" t="s">
        <v>16</v>
      </c>
      <c r="I23" s="101">
        <v>33035</v>
      </c>
      <c r="J23" s="87">
        <v>0.87741000000000002</v>
      </c>
      <c r="K23" s="108">
        <v>5.9</v>
      </c>
      <c r="L23" s="101">
        <v>2016</v>
      </c>
      <c r="M23" s="101" t="s">
        <v>466</v>
      </c>
      <c r="N23" s="101" t="s">
        <v>21</v>
      </c>
    </row>
    <row r="24" spans="1:14" ht="19.5" x14ac:dyDescent="0.25">
      <c r="A24" s="108"/>
      <c r="B24" s="431" t="s">
        <v>22</v>
      </c>
      <c r="C24" s="431"/>
      <c r="D24" s="106"/>
      <c r="E24" s="47"/>
      <c r="F24" s="88">
        <f>SUM(F23)</f>
        <v>5.2</v>
      </c>
      <c r="G24" s="47"/>
      <c r="H24" s="47"/>
      <c r="I24" s="47"/>
      <c r="J24" s="88">
        <f>SUM(J23)</f>
        <v>0.87741000000000002</v>
      </c>
      <c r="K24" s="106"/>
      <c r="L24" s="47"/>
      <c r="M24" s="101"/>
      <c r="N24" s="101"/>
    </row>
    <row r="25" spans="1:14" ht="93.75" x14ac:dyDescent="0.25">
      <c r="A25" s="108">
        <v>14</v>
      </c>
      <c r="B25" s="108" t="s">
        <v>76</v>
      </c>
      <c r="C25" s="108" t="s">
        <v>75</v>
      </c>
      <c r="D25" s="108" t="s">
        <v>70</v>
      </c>
      <c r="E25" s="101" t="s">
        <v>18</v>
      </c>
      <c r="F25" s="87">
        <v>4.9485999999999999</v>
      </c>
      <c r="G25" s="101" t="s">
        <v>72</v>
      </c>
      <c r="H25" s="101" t="s">
        <v>16</v>
      </c>
      <c r="I25" s="101">
        <v>48023</v>
      </c>
      <c r="J25" s="87">
        <v>0.761965</v>
      </c>
      <c r="K25" s="108">
        <v>6.5</v>
      </c>
      <c r="L25" s="101">
        <v>2016</v>
      </c>
      <c r="M25" s="101" t="s">
        <v>1148</v>
      </c>
      <c r="N25" s="101" t="s">
        <v>21</v>
      </c>
    </row>
    <row r="26" spans="1:14" ht="19.5" x14ac:dyDescent="0.25">
      <c r="A26" s="108"/>
      <c r="B26" s="431" t="s">
        <v>22</v>
      </c>
      <c r="C26" s="431"/>
      <c r="D26" s="106"/>
      <c r="E26" s="47"/>
      <c r="F26" s="88">
        <f>SUM(F25)</f>
        <v>4.9485999999999999</v>
      </c>
      <c r="G26" s="47"/>
      <c r="H26" s="47"/>
      <c r="I26" s="47"/>
      <c r="J26" s="88">
        <f>SUM(J25)</f>
        <v>0.761965</v>
      </c>
      <c r="K26" s="106"/>
      <c r="L26" s="47"/>
      <c r="M26" s="101"/>
      <c r="N26" s="101"/>
    </row>
    <row r="27" spans="1:14" ht="112.5" x14ac:dyDescent="0.25">
      <c r="A27" s="108">
        <v>15</v>
      </c>
      <c r="B27" s="108" t="s">
        <v>78</v>
      </c>
      <c r="C27" s="108" t="s">
        <v>77</v>
      </c>
      <c r="D27" s="108" t="s">
        <v>70</v>
      </c>
      <c r="E27" s="101" t="s">
        <v>18</v>
      </c>
      <c r="F27" s="87">
        <v>6.5381999999999998</v>
      </c>
      <c r="G27" s="101" t="s">
        <v>72</v>
      </c>
      <c r="H27" s="101" t="s">
        <v>16</v>
      </c>
      <c r="I27" s="101">
        <v>53347</v>
      </c>
      <c r="J27" s="87">
        <v>1.120287</v>
      </c>
      <c r="K27" s="108">
        <v>5.8</v>
      </c>
      <c r="L27" s="101">
        <v>2016</v>
      </c>
      <c r="M27" s="101" t="s">
        <v>43</v>
      </c>
      <c r="N27" s="101" t="s">
        <v>21</v>
      </c>
    </row>
    <row r="28" spans="1:14" ht="19.5" x14ac:dyDescent="0.25">
      <c r="A28" s="108"/>
      <c r="B28" s="431" t="s">
        <v>22</v>
      </c>
      <c r="C28" s="431"/>
      <c r="D28" s="106"/>
      <c r="E28" s="47"/>
      <c r="F28" s="88">
        <f>SUM(F27)</f>
        <v>6.5381999999999998</v>
      </c>
      <c r="G28" s="47"/>
      <c r="H28" s="47"/>
      <c r="I28" s="47"/>
      <c r="J28" s="88">
        <f>SUM(J27)</f>
        <v>1.120287</v>
      </c>
      <c r="K28" s="106"/>
      <c r="L28" s="47"/>
      <c r="M28" s="101"/>
      <c r="N28" s="101"/>
    </row>
    <row r="29" spans="1:14" ht="18.75" x14ac:dyDescent="0.25">
      <c r="A29" s="109"/>
      <c r="B29" s="109" t="s">
        <v>79</v>
      </c>
      <c r="C29" s="109"/>
      <c r="D29" s="50"/>
      <c r="E29" s="51"/>
      <c r="F29" s="52" t="e">
        <f>F4+#REF!+F8+#REF!+F10+F12+F16+F18+#REF!+#REF!+F20+F22+F24+F26+F28</f>
        <v>#REF!</v>
      </c>
      <c r="G29" s="51"/>
      <c r="H29" s="51"/>
      <c r="I29" s="51"/>
      <c r="J29" s="52" t="e">
        <f>J4+#REF!+J8+#REF!+J10+J12+J16+J18+#REF!+#REF!+J20+J22+J24+J26+J28</f>
        <v>#REF!</v>
      </c>
      <c r="K29" s="109"/>
      <c r="L29" s="51"/>
      <c r="M29" s="53"/>
      <c r="N29" s="53"/>
    </row>
    <row r="30" spans="1:14" ht="112.5" x14ac:dyDescent="0.25">
      <c r="A30" s="108">
        <v>16</v>
      </c>
      <c r="B30" s="108" t="s">
        <v>82</v>
      </c>
      <c r="C30" s="108" t="s">
        <v>80</v>
      </c>
      <c r="D30" s="108" t="s">
        <v>81</v>
      </c>
      <c r="E30" s="101" t="s">
        <v>83</v>
      </c>
      <c r="F30" s="87">
        <v>5</v>
      </c>
      <c r="G30" s="101" t="s">
        <v>84</v>
      </c>
      <c r="H30" s="101" t="s">
        <v>16</v>
      </c>
      <c r="I30" s="101">
        <v>210826.6</v>
      </c>
      <c r="J30" s="87">
        <v>3.87921</v>
      </c>
      <c r="K30" s="108">
        <v>1.3</v>
      </c>
      <c r="L30" s="101">
        <v>2017</v>
      </c>
      <c r="M30" s="101" t="s">
        <v>27</v>
      </c>
      <c r="N30" s="101" t="s">
        <v>21</v>
      </c>
    </row>
    <row r="31" spans="1:14" ht="19.5" x14ac:dyDescent="0.25">
      <c r="A31" s="108"/>
      <c r="B31" s="431" t="s">
        <v>22</v>
      </c>
      <c r="C31" s="431"/>
      <c r="D31" s="106"/>
      <c r="E31" s="47"/>
      <c r="F31" s="88">
        <f>SUM(F30)</f>
        <v>5</v>
      </c>
      <c r="G31" s="47"/>
      <c r="H31" s="47"/>
      <c r="I31" s="47"/>
      <c r="J31" s="88">
        <f>SUM(J30)</f>
        <v>3.87921</v>
      </c>
      <c r="K31" s="106"/>
      <c r="L31" s="47"/>
      <c r="M31" s="101"/>
      <c r="N31" s="101"/>
    </row>
    <row r="32" spans="1:14" ht="93.75" x14ac:dyDescent="0.25">
      <c r="A32" s="108">
        <v>17</v>
      </c>
      <c r="B32" s="108" t="s">
        <v>88</v>
      </c>
      <c r="C32" s="108" t="s">
        <v>85</v>
      </c>
      <c r="D32" s="108" t="s">
        <v>86</v>
      </c>
      <c r="E32" s="101" t="s">
        <v>89</v>
      </c>
      <c r="F32" s="87">
        <v>2336</v>
      </c>
      <c r="G32" s="101" t="s">
        <v>90</v>
      </c>
      <c r="H32" s="101" t="s">
        <v>87</v>
      </c>
      <c r="I32" s="101">
        <v>1869120</v>
      </c>
      <c r="J32" s="87">
        <v>33.713999999999999</v>
      </c>
      <c r="K32" s="108">
        <v>7</v>
      </c>
      <c r="L32" s="101">
        <v>2017</v>
      </c>
      <c r="M32" s="101" t="s">
        <v>1064</v>
      </c>
      <c r="N32" s="101" t="s">
        <v>21</v>
      </c>
    </row>
    <row r="33" spans="1:14" ht="19.5" x14ac:dyDescent="0.25">
      <c r="A33" s="108"/>
      <c r="B33" s="431" t="s">
        <v>22</v>
      </c>
      <c r="C33" s="431"/>
      <c r="D33" s="106"/>
      <c r="E33" s="47"/>
      <c r="F33" s="88">
        <f>SUM(F32)</f>
        <v>2336</v>
      </c>
      <c r="G33" s="47"/>
      <c r="H33" s="47"/>
      <c r="I33" s="47"/>
      <c r="J33" s="88">
        <f>SUM(J32)</f>
        <v>33.713999999999999</v>
      </c>
      <c r="K33" s="106"/>
      <c r="L33" s="47"/>
      <c r="M33" s="101"/>
      <c r="N33" s="101"/>
    </row>
    <row r="34" spans="1:14" ht="75" x14ac:dyDescent="0.25">
      <c r="A34" s="108">
        <v>18</v>
      </c>
      <c r="B34" s="108" t="s">
        <v>93</v>
      </c>
      <c r="C34" s="108" t="s">
        <v>91</v>
      </c>
      <c r="D34" s="108" t="s">
        <v>92</v>
      </c>
      <c r="E34" s="101" t="s">
        <v>94</v>
      </c>
      <c r="F34" s="87">
        <v>747.1</v>
      </c>
      <c r="G34" s="101" t="s">
        <v>95</v>
      </c>
      <c r="H34" s="101" t="s">
        <v>87</v>
      </c>
      <c r="I34" s="101">
        <v>43074434</v>
      </c>
      <c r="J34" s="87">
        <v>349.00099999999998</v>
      </c>
      <c r="K34" s="108">
        <v>2.2999999999999998</v>
      </c>
      <c r="L34" s="101">
        <v>2017</v>
      </c>
      <c r="M34" s="101" t="s">
        <v>1149</v>
      </c>
      <c r="N34" s="101" t="s">
        <v>21</v>
      </c>
    </row>
    <row r="35" spans="1:14" ht="19.5" x14ac:dyDescent="0.25">
      <c r="A35" s="108"/>
      <c r="B35" s="431" t="s">
        <v>22</v>
      </c>
      <c r="C35" s="431"/>
      <c r="D35" s="106"/>
      <c r="E35" s="47"/>
      <c r="F35" s="88">
        <f>SUM(F34)</f>
        <v>747.1</v>
      </c>
      <c r="G35" s="47"/>
      <c r="H35" s="47"/>
      <c r="I35" s="47"/>
      <c r="J35" s="88">
        <f>SUM(J34)</f>
        <v>349.00099999999998</v>
      </c>
      <c r="K35" s="106"/>
      <c r="L35" s="47"/>
      <c r="M35" s="101"/>
      <c r="N35" s="101"/>
    </row>
    <row r="36" spans="1:14" ht="112.5" x14ac:dyDescent="0.25">
      <c r="A36" s="108">
        <v>19</v>
      </c>
      <c r="B36" s="108" t="s">
        <v>98</v>
      </c>
      <c r="C36" s="108" t="s">
        <v>96</v>
      </c>
      <c r="D36" s="108" t="s">
        <v>97</v>
      </c>
      <c r="E36" s="101" t="s">
        <v>94</v>
      </c>
      <c r="F36" s="87">
        <v>732.9</v>
      </c>
      <c r="G36" s="101" t="s">
        <v>90</v>
      </c>
      <c r="H36" s="101" t="s">
        <v>16</v>
      </c>
      <c r="I36" s="101">
        <v>2187132</v>
      </c>
      <c r="J36" s="87">
        <v>46.9</v>
      </c>
      <c r="K36" s="108">
        <v>15.6</v>
      </c>
      <c r="L36" s="101">
        <v>2017</v>
      </c>
      <c r="M36" s="101" t="s">
        <v>446</v>
      </c>
      <c r="N36" s="101" t="s">
        <v>21</v>
      </c>
    </row>
    <row r="37" spans="1:14" ht="19.5" x14ac:dyDescent="0.25">
      <c r="A37" s="108"/>
      <c r="B37" s="431" t="s">
        <v>22</v>
      </c>
      <c r="C37" s="431"/>
      <c r="D37" s="106"/>
      <c r="E37" s="47"/>
      <c r="F37" s="88">
        <f>SUM(F36)</f>
        <v>732.9</v>
      </c>
      <c r="G37" s="47"/>
      <c r="H37" s="47"/>
      <c r="I37" s="47"/>
      <c r="J37" s="88">
        <f>SUM(J36)</f>
        <v>46.9</v>
      </c>
      <c r="K37" s="106"/>
      <c r="L37" s="47"/>
      <c r="M37" s="101"/>
      <c r="N37" s="101"/>
    </row>
    <row r="38" spans="1:14" ht="75" x14ac:dyDescent="0.25">
      <c r="A38" s="108">
        <v>20</v>
      </c>
      <c r="B38" s="108" t="s">
        <v>100</v>
      </c>
      <c r="C38" s="108" t="s">
        <v>99</v>
      </c>
      <c r="D38" s="108" t="s">
        <v>97</v>
      </c>
      <c r="E38" s="101" t="s">
        <v>101</v>
      </c>
      <c r="F38" s="87">
        <v>1088</v>
      </c>
      <c r="G38" s="101" t="s">
        <v>90</v>
      </c>
      <c r="H38" s="101" t="s">
        <v>16</v>
      </c>
      <c r="I38" s="101">
        <v>8576089</v>
      </c>
      <c r="J38" s="87">
        <v>142.345</v>
      </c>
      <c r="K38" s="108">
        <v>7.6</v>
      </c>
      <c r="L38" s="101">
        <v>2017</v>
      </c>
      <c r="M38" s="101" t="s">
        <v>446</v>
      </c>
      <c r="N38" s="101" t="s">
        <v>21</v>
      </c>
    </row>
    <row r="39" spans="1:14" ht="19.5" x14ac:dyDescent="0.25">
      <c r="A39" s="108"/>
      <c r="B39" s="431" t="s">
        <v>22</v>
      </c>
      <c r="C39" s="431"/>
      <c r="D39" s="106"/>
      <c r="E39" s="47"/>
      <c r="F39" s="88">
        <f>SUM(F38)</f>
        <v>1088</v>
      </c>
      <c r="G39" s="47"/>
      <c r="H39" s="47"/>
      <c r="I39" s="47"/>
      <c r="J39" s="88">
        <f>SUM(J38)</f>
        <v>142.345</v>
      </c>
      <c r="K39" s="106"/>
      <c r="L39" s="47"/>
      <c r="M39" s="101"/>
      <c r="N39" s="101"/>
    </row>
    <row r="40" spans="1:14" ht="37.5" x14ac:dyDescent="0.25">
      <c r="A40" s="108">
        <v>21</v>
      </c>
      <c r="B40" s="108" t="s">
        <v>103</v>
      </c>
      <c r="C40" s="108" t="s">
        <v>1161</v>
      </c>
      <c r="D40" s="108" t="s">
        <v>102</v>
      </c>
      <c r="E40" s="101" t="s">
        <v>103</v>
      </c>
      <c r="F40" s="87">
        <v>14.5</v>
      </c>
      <c r="G40" s="101" t="s">
        <v>104</v>
      </c>
      <c r="H40" s="101" t="s">
        <v>16</v>
      </c>
      <c r="I40" s="101">
        <v>962022</v>
      </c>
      <c r="J40" s="87">
        <v>14.670999999999999</v>
      </c>
      <c r="K40" s="108">
        <v>1</v>
      </c>
      <c r="L40" s="101">
        <v>2017</v>
      </c>
      <c r="M40" s="101" t="s">
        <v>27</v>
      </c>
      <c r="N40" s="101" t="s">
        <v>21</v>
      </c>
    </row>
    <row r="41" spans="1:14" ht="19.5" x14ac:dyDescent="0.25">
      <c r="A41" s="108"/>
      <c r="B41" s="612" t="s">
        <v>22</v>
      </c>
      <c r="C41" s="613"/>
      <c r="D41" s="106"/>
      <c r="E41" s="47"/>
      <c r="F41" s="88">
        <f>SUM(F40)</f>
        <v>14.5</v>
      </c>
      <c r="G41" s="47"/>
      <c r="H41" s="47"/>
      <c r="I41" s="47"/>
      <c r="J41" s="88">
        <f>SUM(J40)</f>
        <v>14.670999999999999</v>
      </c>
      <c r="K41" s="106"/>
      <c r="L41" s="47"/>
      <c r="M41" s="101"/>
      <c r="N41" s="101"/>
    </row>
    <row r="42" spans="1:14" ht="56.25" x14ac:dyDescent="0.25">
      <c r="A42" s="108">
        <v>22</v>
      </c>
      <c r="B42" s="108" t="s">
        <v>107</v>
      </c>
      <c r="C42" s="108" t="s">
        <v>105</v>
      </c>
      <c r="D42" s="108" t="s">
        <v>106</v>
      </c>
      <c r="E42" s="101" t="s">
        <v>107</v>
      </c>
      <c r="F42" s="87">
        <v>2.2080000000000002</v>
      </c>
      <c r="G42" s="101" t="s">
        <v>104</v>
      </c>
      <c r="H42" s="101" t="s">
        <v>16</v>
      </c>
      <c r="I42" s="101">
        <v>91214</v>
      </c>
      <c r="J42" s="87">
        <v>1.69</v>
      </c>
      <c r="K42" s="108">
        <v>1.3</v>
      </c>
      <c r="L42" s="101">
        <v>2017</v>
      </c>
      <c r="M42" s="101" t="s">
        <v>27</v>
      </c>
      <c r="N42" s="101" t="s">
        <v>21</v>
      </c>
    </row>
    <row r="43" spans="1:14" ht="19.5" x14ac:dyDescent="0.25">
      <c r="A43" s="108"/>
      <c r="B43" s="612" t="s">
        <v>22</v>
      </c>
      <c r="C43" s="613"/>
      <c r="D43" s="106"/>
      <c r="E43" s="47"/>
      <c r="F43" s="88">
        <f>SUM(F42)</f>
        <v>2.2080000000000002</v>
      </c>
      <c r="G43" s="47"/>
      <c r="H43" s="47"/>
      <c r="I43" s="47"/>
      <c r="J43" s="88">
        <f>SUM(J42)</f>
        <v>1.69</v>
      </c>
      <c r="K43" s="106"/>
      <c r="L43" s="47"/>
      <c r="M43" s="101"/>
      <c r="N43" s="101"/>
    </row>
    <row r="44" spans="1:14" ht="37.5" x14ac:dyDescent="0.25">
      <c r="A44" s="452">
        <v>24</v>
      </c>
      <c r="B44" s="452" t="s">
        <v>111</v>
      </c>
      <c r="C44" s="452" t="s">
        <v>109</v>
      </c>
      <c r="D44" s="108" t="s">
        <v>110</v>
      </c>
      <c r="E44" s="449" t="s">
        <v>111</v>
      </c>
      <c r="F44" s="87">
        <v>10.510999999999999</v>
      </c>
      <c r="G44" s="449" t="s">
        <v>104</v>
      </c>
      <c r="H44" s="101" t="s">
        <v>16</v>
      </c>
      <c r="I44" s="101">
        <v>171733</v>
      </c>
      <c r="J44" s="87">
        <v>3.28</v>
      </c>
      <c r="K44" s="108">
        <v>3.2</v>
      </c>
      <c r="L44" s="449">
        <v>2017</v>
      </c>
      <c r="M44" s="449" t="s">
        <v>438</v>
      </c>
      <c r="N44" s="449" t="s">
        <v>21</v>
      </c>
    </row>
    <row r="45" spans="1:14" ht="37.5" x14ac:dyDescent="0.25">
      <c r="A45" s="571"/>
      <c r="B45" s="571"/>
      <c r="C45" s="571"/>
      <c r="D45" s="108" t="s">
        <v>112</v>
      </c>
      <c r="E45" s="490"/>
      <c r="F45" s="87">
        <v>1.8680000000000001</v>
      </c>
      <c r="G45" s="490"/>
      <c r="H45" s="101" t="s">
        <v>16</v>
      </c>
      <c r="I45" s="101">
        <v>17930</v>
      </c>
      <c r="J45" s="87">
        <v>0.33900000000000002</v>
      </c>
      <c r="K45" s="108">
        <v>5.5</v>
      </c>
      <c r="L45" s="490"/>
      <c r="M45" s="490"/>
      <c r="N45" s="490"/>
    </row>
    <row r="46" spans="1:14" ht="75" x14ac:dyDescent="0.25">
      <c r="A46" s="571"/>
      <c r="B46" s="571"/>
      <c r="C46" s="571"/>
      <c r="D46" s="108" t="s">
        <v>113</v>
      </c>
      <c r="E46" s="490"/>
      <c r="F46" s="87">
        <v>3.96</v>
      </c>
      <c r="G46" s="490"/>
      <c r="H46" s="101" t="s">
        <v>16</v>
      </c>
      <c r="I46" s="101">
        <v>61290</v>
      </c>
      <c r="J46" s="87">
        <v>1.1599999999999999</v>
      </c>
      <c r="K46" s="108">
        <v>3.4</v>
      </c>
      <c r="L46" s="490"/>
      <c r="M46" s="490"/>
      <c r="N46" s="490"/>
    </row>
    <row r="47" spans="1:14" ht="37.5" x14ac:dyDescent="0.25">
      <c r="A47" s="434"/>
      <c r="B47" s="434"/>
      <c r="C47" s="434"/>
      <c r="D47" s="108" t="s">
        <v>114</v>
      </c>
      <c r="E47" s="433"/>
      <c r="F47" s="87">
        <v>0.307</v>
      </c>
      <c r="G47" s="433"/>
      <c r="H47" s="101" t="s">
        <v>16</v>
      </c>
      <c r="I47" s="101">
        <v>67313</v>
      </c>
      <c r="J47" s="87">
        <v>1.5349999999999999</v>
      </c>
      <c r="K47" s="108">
        <v>0.2</v>
      </c>
      <c r="L47" s="433"/>
      <c r="M47" s="433"/>
      <c r="N47" s="433"/>
    </row>
    <row r="48" spans="1:14" ht="19.5" x14ac:dyDescent="0.25">
      <c r="A48" s="108"/>
      <c r="B48" s="612" t="s">
        <v>22</v>
      </c>
      <c r="C48" s="613"/>
      <c r="D48" s="106"/>
      <c r="E48" s="47"/>
      <c r="F48" s="88">
        <f>SUM(F44:F47)</f>
        <v>16.645999999999997</v>
      </c>
      <c r="G48" s="47"/>
      <c r="H48" s="47"/>
      <c r="I48" s="47"/>
      <c r="J48" s="88">
        <f>SUM(J44:J47)</f>
        <v>6.3140000000000001</v>
      </c>
      <c r="K48" s="106"/>
      <c r="L48" s="47"/>
      <c r="M48" s="101"/>
      <c r="N48" s="101"/>
    </row>
    <row r="49" spans="1:14" ht="56.25" x14ac:dyDescent="0.25">
      <c r="A49" s="452">
        <v>26</v>
      </c>
      <c r="B49" s="452" t="s">
        <v>122</v>
      </c>
      <c r="C49" s="452" t="s">
        <v>120</v>
      </c>
      <c r="D49" s="108" t="s">
        <v>121</v>
      </c>
      <c r="E49" s="449" t="s">
        <v>122</v>
      </c>
      <c r="F49" s="87">
        <v>10.46</v>
      </c>
      <c r="G49" s="449" t="s">
        <v>104</v>
      </c>
      <c r="H49" s="101" t="s">
        <v>16</v>
      </c>
      <c r="I49" s="101">
        <v>85191</v>
      </c>
      <c r="J49" s="87">
        <v>1.089</v>
      </c>
      <c r="K49" s="108">
        <v>9.6</v>
      </c>
      <c r="L49" s="449">
        <v>2017</v>
      </c>
      <c r="M49" s="449" t="s">
        <v>466</v>
      </c>
      <c r="N49" s="449" t="s">
        <v>21</v>
      </c>
    </row>
    <row r="50" spans="1:14" ht="56.25" x14ac:dyDescent="0.25">
      <c r="A50" s="434"/>
      <c r="B50" s="434"/>
      <c r="C50" s="434"/>
      <c r="D50" s="108" t="s">
        <v>123</v>
      </c>
      <c r="E50" s="433"/>
      <c r="F50" s="87">
        <v>3.6</v>
      </c>
      <c r="G50" s="433"/>
      <c r="H50" s="101" t="s">
        <v>16</v>
      </c>
      <c r="I50" s="101">
        <v>19447</v>
      </c>
      <c r="J50" s="87">
        <v>0.30499999999999999</v>
      </c>
      <c r="K50" s="108">
        <v>11.8</v>
      </c>
      <c r="L50" s="433"/>
      <c r="M50" s="433"/>
      <c r="N50" s="433"/>
    </row>
    <row r="51" spans="1:14" ht="19.5" x14ac:dyDescent="0.25">
      <c r="A51" s="108"/>
      <c r="B51" s="612" t="s">
        <v>22</v>
      </c>
      <c r="C51" s="613"/>
      <c r="D51" s="106"/>
      <c r="E51" s="47"/>
      <c r="F51" s="88">
        <f>SUM(F49:F50)</f>
        <v>14.06</v>
      </c>
      <c r="G51" s="47"/>
      <c r="H51" s="47"/>
      <c r="I51" s="47"/>
      <c r="J51" s="88">
        <f>SUM(J49:J50)</f>
        <v>1.3939999999999999</v>
      </c>
      <c r="K51" s="106"/>
      <c r="L51" s="47"/>
      <c r="M51" s="101"/>
      <c r="N51" s="101"/>
    </row>
    <row r="52" spans="1:14" ht="37.5" x14ac:dyDescent="0.25">
      <c r="A52" s="452">
        <v>27</v>
      </c>
      <c r="B52" s="452" t="s">
        <v>126</v>
      </c>
      <c r="C52" s="452" t="s">
        <v>124</v>
      </c>
      <c r="D52" s="108" t="s">
        <v>125</v>
      </c>
      <c r="E52" s="449" t="s">
        <v>126</v>
      </c>
      <c r="F52" s="87">
        <v>13.9</v>
      </c>
      <c r="G52" s="449" t="s">
        <v>104</v>
      </c>
      <c r="H52" s="101" t="s">
        <v>16</v>
      </c>
      <c r="I52" s="101">
        <v>283659</v>
      </c>
      <c r="J52" s="87">
        <v>4.2119999999999997</v>
      </c>
      <c r="K52" s="108">
        <v>3.3</v>
      </c>
      <c r="L52" s="449">
        <v>2017</v>
      </c>
      <c r="M52" s="449" t="s">
        <v>438</v>
      </c>
      <c r="N52" s="449" t="s">
        <v>21</v>
      </c>
    </row>
    <row r="53" spans="1:14" ht="37.5" x14ac:dyDescent="0.25">
      <c r="A53" s="434"/>
      <c r="B53" s="434"/>
      <c r="C53" s="434"/>
      <c r="D53" s="108" t="s">
        <v>127</v>
      </c>
      <c r="E53" s="433"/>
      <c r="F53" s="87">
        <v>0.95</v>
      </c>
      <c r="G53" s="433"/>
      <c r="H53" s="101" t="s">
        <v>16</v>
      </c>
      <c r="I53" s="101">
        <v>1223665</v>
      </c>
      <c r="J53" s="87">
        <v>0.9</v>
      </c>
      <c r="K53" s="108">
        <v>1</v>
      </c>
      <c r="L53" s="433"/>
      <c r="M53" s="433"/>
      <c r="N53" s="433"/>
    </row>
    <row r="54" spans="1:14" ht="19.5" x14ac:dyDescent="0.25">
      <c r="A54" s="108"/>
      <c r="B54" s="612" t="s">
        <v>22</v>
      </c>
      <c r="C54" s="613"/>
      <c r="D54" s="106"/>
      <c r="E54" s="47"/>
      <c r="F54" s="88">
        <f>SUM(F52:F53)</f>
        <v>14.85</v>
      </c>
      <c r="G54" s="47"/>
      <c r="H54" s="47"/>
      <c r="I54" s="47"/>
      <c r="J54" s="88">
        <f>SUM(J52:J53)</f>
        <v>5.1120000000000001</v>
      </c>
      <c r="K54" s="106"/>
      <c r="L54" s="47"/>
      <c r="M54" s="101"/>
      <c r="N54" s="101"/>
    </row>
    <row r="55" spans="1:14" ht="37.5" x14ac:dyDescent="0.25">
      <c r="A55" s="108">
        <v>29</v>
      </c>
      <c r="B55" s="108" t="s">
        <v>131</v>
      </c>
      <c r="C55" s="108" t="s">
        <v>129</v>
      </c>
      <c r="D55" s="108" t="s">
        <v>130</v>
      </c>
      <c r="E55" s="101" t="s">
        <v>131</v>
      </c>
      <c r="F55" s="87">
        <v>15.1</v>
      </c>
      <c r="G55" s="101" t="s">
        <v>104</v>
      </c>
      <c r="H55" s="101" t="s">
        <v>16</v>
      </c>
      <c r="I55" s="101">
        <v>218630</v>
      </c>
      <c r="J55" s="87">
        <v>2.7240000000000002</v>
      </c>
      <c r="K55" s="108">
        <v>5.6</v>
      </c>
      <c r="L55" s="101">
        <v>2017</v>
      </c>
      <c r="M55" s="101" t="s">
        <v>466</v>
      </c>
      <c r="N55" s="101" t="s">
        <v>21</v>
      </c>
    </row>
    <row r="56" spans="1:14" ht="19.5" x14ac:dyDescent="0.25">
      <c r="A56" s="108"/>
      <c r="B56" s="612" t="s">
        <v>22</v>
      </c>
      <c r="C56" s="613"/>
      <c r="D56" s="106"/>
      <c r="E56" s="47"/>
      <c r="F56" s="88">
        <f>SUM(F55)</f>
        <v>15.1</v>
      </c>
      <c r="G56" s="47"/>
      <c r="H56" s="47"/>
      <c r="I56" s="47"/>
      <c r="J56" s="88">
        <f>SUM(J55)</f>
        <v>2.7240000000000002</v>
      </c>
      <c r="K56" s="106"/>
      <c r="L56" s="47"/>
      <c r="M56" s="101"/>
      <c r="N56" s="101"/>
    </row>
    <row r="57" spans="1:14" ht="37.5" x14ac:dyDescent="0.25">
      <c r="A57" s="452">
        <v>32</v>
      </c>
      <c r="B57" s="452" t="s">
        <v>138</v>
      </c>
      <c r="C57" s="452" t="s">
        <v>136</v>
      </c>
      <c r="D57" s="108" t="s">
        <v>137</v>
      </c>
      <c r="E57" s="449" t="s">
        <v>138</v>
      </c>
      <c r="F57" s="87">
        <v>98.63</v>
      </c>
      <c r="G57" s="449" t="s">
        <v>104</v>
      </c>
      <c r="H57" s="101" t="s">
        <v>16</v>
      </c>
      <c r="I57" s="101">
        <v>91377</v>
      </c>
      <c r="J57" s="87">
        <v>1.641</v>
      </c>
      <c r="K57" s="108">
        <v>0</v>
      </c>
      <c r="L57" s="449">
        <v>2017</v>
      </c>
      <c r="M57" s="449" t="s">
        <v>1064</v>
      </c>
      <c r="N57" s="449" t="s">
        <v>21</v>
      </c>
    </row>
    <row r="58" spans="1:14" ht="93.75" x14ac:dyDescent="0.25">
      <c r="A58" s="434"/>
      <c r="B58" s="434"/>
      <c r="C58" s="434"/>
      <c r="D58" s="108" t="s">
        <v>139</v>
      </c>
      <c r="E58" s="433"/>
      <c r="F58" s="87">
        <v>52.08</v>
      </c>
      <c r="G58" s="433"/>
      <c r="H58" s="101" t="s">
        <v>37</v>
      </c>
      <c r="I58" s="101">
        <v>12564</v>
      </c>
      <c r="J58" s="87">
        <v>20.297999999999998</v>
      </c>
      <c r="K58" s="108">
        <v>2.6</v>
      </c>
      <c r="L58" s="433"/>
      <c r="M58" s="433"/>
      <c r="N58" s="433"/>
    </row>
    <row r="59" spans="1:14" ht="19.5" x14ac:dyDescent="0.25">
      <c r="A59" s="108"/>
      <c r="B59" s="612" t="s">
        <v>22</v>
      </c>
      <c r="C59" s="613"/>
      <c r="D59" s="106"/>
      <c r="E59" s="47"/>
      <c r="F59" s="88">
        <f>SUM(F57:F58)</f>
        <v>150.70999999999998</v>
      </c>
      <c r="G59" s="47"/>
      <c r="H59" s="47"/>
      <c r="I59" s="47"/>
      <c r="J59" s="88">
        <f>SUM(J57:J58)</f>
        <v>21.939</v>
      </c>
      <c r="K59" s="106"/>
      <c r="L59" s="47"/>
      <c r="M59" s="101"/>
      <c r="N59" s="101"/>
    </row>
    <row r="60" spans="1:14" ht="37.5" x14ac:dyDescent="0.25">
      <c r="A60" s="452">
        <v>33</v>
      </c>
      <c r="B60" s="452" t="s">
        <v>141</v>
      </c>
      <c r="C60" s="452" t="s">
        <v>140</v>
      </c>
      <c r="D60" s="108" t="s">
        <v>137</v>
      </c>
      <c r="E60" s="449" t="s">
        <v>141</v>
      </c>
      <c r="F60" s="87">
        <v>42</v>
      </c>
      <c r="G60" s="449" t="s">
        <v>104</v>
      </c>
      <c r="H60" s="101" t="s">
        <v>16</v>
      </c>
      <c r="I60" s="101">
        <v>1824000</v>
      </c>
      <c r="J60" s="87">
        <v>13.68</v>
      </c>
      <c r="K60" s="108">
        <v>3</v>
      </c>
      <c r="L60" s="449">
        <v>2017</v>
      </c>
      <c r="M60" s="449" t="s">
        <v>142</v>
      </c>
      <c r="N60" s="449" t="s">
        <v>21</v>
      </c>
    </row>
    <row r="61" spans="1:14" ht="93.75" x14ac:dyDescent="0.25">
      <c r="A61" s="434"/>
      <c r="B61" s="434"/>
      <c r="C61" s="434"/>
      <c r="D61" s="108" t="s">
        <v>143</v>
      </c>
      <c r="E61" s="433"/>
      <c r="F61" s="87">
        <v>24.1</v>
      </c>
      <c r="G61" s="433"/>
      <c r="H61" s="101" t="s">
        <v>37</v>
      </c>
      <c r="I61" s="101">
        <v>3832</v>
      </c>
      <c r="J61" s="87">
        <v>5.6867000000000001</v>
      </c>
      <c r="K61" s="108">
        <v>4.2</v>
      </c>
      <c r="L61" s="433"/>
      <c r="M61" s="433"/>
      <c r="N61" s="433"/>
    </row>
    <row r="62" spans="1:14" ht="19.5" x14ac:dyDescent="0.25">
      <c r="A62" s="108"/>
      <c r="B62" s="612" t="s">
        <v>22</v>
      </c>
      <c r="C62" s="613"/>
      <c r="D62" s="106"/>
      <c r="E62" s="47"/>
      <c r="F62" s="88">
        <f>SUM(F60:F61)</f>
        <v>66.099999999999994</v>
      </c>
      <c r="G62" s="47"/>
      <c r="H62" s="47"/>
      <c r="I62" s="47"/>
      <c r="J62" s="88">
        <f>SUM(J60:J61)</f>
        <v>19.366700000000002</v>
      </c>
      <c r="K62" s="106"/>
      <c r="L62" s="47"/>
      <c r="M62" s="101"/>
      <c r="N62" s="101"/>
    </row>
    <row r="63" spans="1:14" ht="37.5" x14ac:dyDescent="0.25">
      <c r="A63" s="108">
        <v>34</v>
      </c>
      <c r="B63" s="108" t="s">
        <v>146</v>
      </c>
      <c r="C63" s="108" t="s">
        <v>144</v>
      </c>
      <c r="D63" s="108" t="s">
        <v>145</v>
      </c>
      <c r="E63" s="101" t="s">
        <v>146</v>
      </c>
      <c r="F63" s="87">
        <v>3.75</v>
      </c>
      <c r="G63" s="101" t="s">
        <v>104</v>
      </c>
      <c r="H63" s="101" t="s">
        <v>16</v>
      </c>
      <c r="I63" s="101">
        <v>340200</v>
      </c>
      <c r="J63" s="87">
        <v>4.7628000000000004</v>
      </c>
      <c r="K63" s="108">
        <v>0.8</v>
      </c>
      <c r="L63" s="101">
        <v>2017</v>
      </c>
      <c r="M63" s="101" t="s">
        <v>27</v>
      </c>
      <c r="N63" s="101" t="s">
        <v>21</v>
      </c>
    </row>
    <row r="64" spans="1:14" ht="19.5" x14ac:dyDescent="0.25">
      <c r="A64" s="108"/>
      <c r="B64" s="612" t="s">
        <v>22</v>
      </c>
      <c r="C64" s="613"/>
      <c r="D64" s="106"/>
      <c r="E64" s="47"/>
      <c r="F64" s="88">
        <f>SUM(F63)</f>
        <v>3.75</v>
      </c>
      <c r="G64" s="47"/>
      <c r="H64" s="47"/>
      <c r="I64" s="47"/>
      <c r="J64" s="88">
        <f>SUM(J63)</f>
        <v>4.7628000000000004</v>
      </c>
      <c r="K64" s="106"/>
      <c r="L64" s="47"/>
      <c r="M64" s="101"/>
      <c r="N64" s="101"/>
    </row>
    <row r="65" spans="1:14" ht="56.25" x14ac:dyDescent="0.25">
      <c r="A65" s="108">
        <v>35</v>
      </c>
      <c r="B65" s="108" t="s">
        <v>149</v>
      </c>
      <c r="C65" s="108" t="s">
        <v>147</v>
      </c>
      <c r="D65" s="108" t="s">
        <v>148</v>
      </c>
      <c r="E65" s="101" t="s">
        <v>149</v>
      </c>
      <c r="F65" s="87">
        <v>1.0149999999999999</v>
      </c>
      <c r="G65" s="101" t="s">
        <v>104</v>
      </c>
      <c r="H65" s="101" t="s">
        <v>16</v>
      </c>
      <c r="I65" s="101">
        <v>295.93799999999999</v>
      </c>
      <c r="J65" s="87">
        <v>0.61899999999999999</v>
      </c>
      <c r="K65" s="108">
        <v>1.7</v>
      </c>
      <c r="L65" s="101">
        <v>2017</v>
      </c>
      <c r="M65" s="101" t="s">
        <v>438</v>
      </c>
      <c r="N65" s="101" t="s">
        <v>21</v>
      </c>
    </row>
    <row r="66" spans="1:14" ht="19.5" x14ac:dyDescent="0.25">
      <c r="A66" s="108"/>
      <c r="B66" s="612" t="s">
        <v>22</v>
      </c>
      <c r="C66" s="613"/>
      <c r="D66" s="106"/>
      <c r="E66" s="47"/>
      <c r="F66" s="88">
        <f>SUM(F65)</f>
        <v>1.0149999999999999</v>
      </c>
      <c r="G66" s="47"/>
      <c r="H66" s="47"/>
      <c r="I66" s="47"/>
      <c r="J66" s="88">
        <f>SUM(J65)</f>
        <v>0.61899999999999999</v>
      </c>
      <c r="K66" s="106"/>
      <c r="L66" s="47"/>
      <c r="M66" s="101"/>
      <c r="N66" s="101"/>
    </row>
    <row r="67" spans="1:14" ht="37.5" x14ac:dyDescent="0.25">
      <c r="A67" s="452">
        <v>36</v>
      </c>
      <c r="B67" s="452" t="s">
        <v>152</v>
      </c>
      <c r="C67" s="452" t="s">
        <v>150</v>
      </c>
      <c r="D67" s="108" t="s">
        <v>151</v>
      </c>
      <c r="E67" s="449" t="s">
        <v>152</v>
      </c>
      <c r="F67" s="87">
        <v>12.375</v>
      </c>
      <c r="G67" s="449" t="s">
        <v>104</v>
      </c>
      <c r="H67" s="101" t="s">
        <v>16</v>
      </c>
      <c r="I67" s="101">
        <v>114105.60000000001</v>
      </c>
      <c r="J67" s="87">
        <v>2.4750000000000001</v>
      </c>
      <c r="K67" s="108">
        <v>3.7</v>
      </c>
      <c r="L67" s="449">
        <v>2017</v>
      </c>
      <c r="M67" s="449" t="s">
        <v>142</v>
      </c>
      <c r="N67" s="449" t="s">
        <v>21</v>
      </c>
    </row>
    <row r="68" spans="1:14" ht="18.75" x14ac:dyDescent="0.25">
      <c r="A68" s="571"/>
      <c r="B68" s="571"/>
      <c r="C68" s="571"/>
      <c r="D68" s="108" t="s">
        <v>153</v>
      </c>
      <c r="E68" s="490"/>
      <c r="F68" s="87">
        <v>0.56000000000000005</v>
      </c>
      <c r="G68" s="490"/>
      <c r="H68" s="101" t="s">
        <v>16</v>
      </c>
      <c r="I68" s="101">
        <v>16464</v>
      </c>
      <c r="J68" s="87">
        <v>0.151</v>
      </c>
      <c r="K68" s="108">
        <v>3.7</v>
      </c>
      <c r="L68" s="490"/>
      <c r="M68" s="490"/>
      <c r="N68" s="490"/>
    </row>
    <row r="69" spans="1:14" ht="37.5" x14ac:dyDescent="0.25">
      <c r="A69" s="571"/>
      <c r="B69" s="571"/>
      <c r="C69" s="571"/>
      <c r="D69" s="108" t="s">
        <v>154</v>
      </c>
      <c r="E69" s="490"/>
      <c r="F69" s="87">
        <v>440.22</v>
      </c>
      <c r="G69" s="490"/>
      <c r="H69" s="101" t="s">
        <v>16</v>
      </c>
      <c r="I69" s="101">
        <v>2136558</v>
      </c>
      <c r="J69" s="87">
        <v>25.2242</v>
      </c>
      <c r="K69" s="108">
        <v>7</v>
      </c>
      <c r="L69" s="490"/>
      <c r="M69" s="490"/>
      <c r="N69" s="490"/>
    </row>
    <row r="70" spans="1:14" ht="18.75" x14ac:dyDescent="0.25">
      <c r="A70" s="434"/>
      <c r="B70" s="434"/>
      <c r="C70" s="434"/>
      <c r="D70" s="108" t="s">
        <v>155</v>
      </c>
      <c r="E70" s="433"/>
      <c r="F70" s="87">
        <v>260.35599999999999</v>
      </c>
      <c r="G70" s="433"/>
      <c r="H70" s="101" t="s">
        <v>16</v>
      </c>
      <c r="I70" s="101">
        <v>5538128</v>
      </c>
      <c r="J70" s="87">
        <v>65.383139999999997</v>
      </c>
      <c r="K70" s="108">
        <v>4</v>
      </c>
      <c r="L70" s="433"/>
      <c r="M70" s="433"/>
      <c r="N70" s="433"/>
    </row>
    <row r="71" spans="1:14" ht="19.5" x14ac:dyDescent="0.25">
      <c r="A71" s="108"/>
      <c r="B71" s="612" t="s">
        <v>22</v>
      </c>
      <c r="C71" s="613"/>
      <c r="D71" s="106"/>
      <c r="E71" s="47"/>
      <c r="F71" s="88">
        <f>SUM(F67:F70)</f>
        <v>713.51099999999997</v>
      </c>
      <c r="G71" s="47"/>
      <c r="H71" s="47"/>
      <c r="I71" s="47"/>
      <c r="J71" s="88">
        <f>SUM(J67:J70)</f>
        <v>93.233339999999998</v>
      </c>
      <c r="K71" s="106"/>
      <c r="L71" s="47"/>
      <c r="M71" s="101"/>
      <c r="N71" s="101"/>
    </row>
    <row r="72" spans="1:14" ht="56.25" x14ac:dyDescent="0.25">
      <c r="A72" s="452">
        <v>37</v>
      </c>
      <c r="B72" s="452" t="s">
        <v>158</v>
      </c>
      <c r="C72" s="452" t="s">
        <v>156</v>
      </c>
      <c r="D72" s="108" t="s">
        <v>157</v>
      </c>
      <c r="E72" s="449" t="s">
        <v>158</v>
      </c>
      <c r="F72" s="87">
        <v>3.1</v>
      </c>
      <c r="G72" s="449" t="s">
        <v>104</v>
      </c>
      <c r="H72" s="101" t="s">
        <v>16</v>
      </c>
      <c r="I72" s="101">
        <v>284900</v>
      </c>
      <c r="J72" s="87">
        <v>2.7149999999999999</v>
      </c>
      <c r="K72" s="108">
        <v>1.2</v>
      </c>
      <c r="L72" s="449">
        <v>2017</v>
      </c>
      <c r="M72" s="449" t="s">
        <v>492</v>
      </c>
      <c r="N72" s="449" t="s">
        <v>21</v>
      </c>
    </row>
    <row r="73" spans="1:14" ht="37.5" x14ac:dyDescent="0.25">
      <c r="A73" s="571"/>
      <c r="B73" s="571"/>
      <c r="C73" s="571"/>
      <c r="D73" s="108" t="s">
        <v>159</v>
      </c>
      <c r="E73" s="490"/>
      <c r="F73" s="87">
        <v>2.1</v>
      </c>
      <c r="G73" s="490"/>
      <c r="H73" s="101" t="s">
        <v>16</v>
      </c>
      <c r="I73" s="101">
        <v>116800</v>
      </c>
      <c r="J73" s="87">
        <v>1.67</v>
      </c>
      <c r="K73" s="108">
        <v>1.3</v>
      </c>
      <c r="L73" s="490"/>
      <c r="M73" s="490"/>
      <c r="N73" s="490"/>
    </row>
    <row r="74" spans="1:14" ht="18.75" x14ac:dyDescent="0.25">
      <c r="A74" s="571"/>
      <c r="B74" s="571"/>
      <c r="C74" s="571"/>
      <c r="D74" s="108" t="s">
        <v>160</v>
      </c>
      <c r="E74" s="490"/>
      <c r="F74" s="87">
        <v>0.93</v>
      </c>
      <c r="G74" s="490"/>
      <c r="H74" s="101" t="s">
        <v>16</v>
      </c>
      <c r="I74" s="101">
        <v>17300</v>
      </c>
      <c r="J74" s="87">
        <v>0.16500000000000001</v>
      </c>
      <c r="K74" s="108">
        <v>5.8</v>
      </c>
      <c r="L74" s="490"/>
      <c r="M74" s="490"/>
      <c r="N74" s="490"/>
    </row>
    <row r="75" spans="1:14" ht="37.5" x14ac:dyDescent="0.25">
      <c r="A75" s="571"/>
      <c r="B75" s="571"/>
      <c r="C75" s="571"/>
      <c r="D75" s="108" t="s">
        <v>161</v>
      </c>
      <c r="E75" s="490"/>
      <c r="F75" s="87">
        <v>0.15</v>
      </c>
      <c r="G75" s="490"/>
      <c r="H75" s="101" t="s">
        <v>16</v>
      </c>
      <c r="I75" s="101">
        <v>19600</v>
      </c>
      <c r="J75" s="87">
        <v>0.187</v>
      </c>
      <c r="K75" s="108">
        <v>1</v>
      </c>
      <c r="L75" s="490"/>
      <c r="M75" s="490"/>
      <c r="N75" s="490"/>
    </row>
    <row r="76" spans="1:14" ht="37.5" x14ac:dyDescent="0.25">
      <c r="A76" s="434"/>
      <c r="B76" s="434"/>
      <c r="C76" s="434"/>
      <c r="D76" s="108" t="s">
        <v>162</v>
      </c>
      <c r="E76" s="433"/>
      <c r="F76" s="87">
        <v>12.654999999999999</v>
      </c>
      <c r="G76" s="433"/>
      <c r="H76" s="101" t="s">
        <v>16</v>
      </c>
      <c r="I76" s="101">
        <v>35500</v>
      </c>
      <c r="J76" s="87">
        <v>0.33829999999999999</v>
      </c>
      <c r="K76" s="108">
        <v>37.5</v>
      </c>
      <c r="L76" s="433"/>
      <c r="M76" s="433"/>
      <c r="N76" s="433"/>
    </row>
    <row r="77" spans="1:14" ht="19.5" x14ac:dyDescent="0.25">
      <c r="A77" s="108"/>
      <c r="B77" s="612" t="s">
        <v>22</v>
      </c>
      <c r="C77" s="613"/>
      <c r="D77" s="106"/>
      <c r="E77" s="47"/>
      <c r="F77" s="88">
        <f>SUM(F72:F76)</f>
        <v>18.934999999999999</v>
      </c>
      <c r="G77" s="47"/>
      <c r="H77" s="47"/>
      <c r="I77" s="47"/>
      <c r="J77" s="88">
        <f>SUM(J72:J76)</f>
        <v>5.0753000000000004</v>
      </c>
      <c r="K77" s="106"/>
      <c r="L77" s="47"/>
      <c r="M77" s="101"/>
      <c r="N77" s="101"/>
    </row>
    <row r="78" spans="1:14" ht="37.5" x14ac:dyDescent="0.25">
      <c r="A78" s="452">
        <v>38</v>
      </c>
      <c r="B78" s="452" t="s">
        <v>165</v>
      </c>
      <c r="C78" s="452" t="s">
        <v>163</v>
      </c>
      <c r="D78" s="108" t="s">
        <v>164</v>
      </c>
      <c r="E78" s="101" t="s">
        <v>165</v>
      </c>
      <c r="F78" s="87">
        <v>69.38</v>
      </c>
      <c r="G78" s="449" t="s">
        <v>104</v>
      </c>
      <c r="H78" s="101" t="s">
        <v>16</v>
      </c>
      <c r="I78" s="101">
        <v>609800</v>
      </c>
      <c r="J78" s="87">
        <v>9.1</v>
      </c>
      <c r="K78" s="108">
        <v>8</v>
      </c>
      <c r="L78" s="449">
        <v>2017</v>
      </c>
      <c r="M78" s="449" t="s">
        <v>142</v>
      </c>
      <c r="N78" s="449" t="s">
        <v>21</v>
      </c>
    </row>
    <row r="79" spans="1:14" ht="112.5" x14ac:dyDescent="0.25">
      <c r="A79" s="571"/>
      <c r="B79" s="571"/>
      <c r="C79" s="571"/>
      <c r="D79" s="108" t="s">
        <v>166</v>
      </c>
      <c r="E79" s="101" t="s">
        <v>165</v>
      </c>
      <c r="F79" s="87">
        <v>2.2000000000000002</v>
      </c>
      <c r="G79" s="490"/>
      <c r="H79" s="101" t="s">
        <v>16</v>
      </c>
      <c r="I79" s="101">
        <v>64800</v>
      </c>
      <c r="J79" s="87">
        <v>0.97</v>
      </c>
      <c r="K79" s="108">
        <v>3</v>
      </c>
      <c r="L79" s="490"/>
      <c r="M79" s="490"/>
      <c r="N79" s="490"/>
    </row>
    <row r="80" spans="1:14" ht="56.25" x14ac:dyDescent="0.25">
      <c r="A80" s="434"/>
      <c r="B80" s="434"/>
      <c r="C80" s="434"/>
      <c r="D80" s="108" t="s">
        <v>167</v>
      </c>
      <c r="E80" s="101" t="s">
        <v>165</v>
      </c>
      <c r="F80" s="87">
        <v>1066.9000000000001</v>
      </c>
      <c r="G80" s="433"/>
      <c r="H80" s="101" t="s">
        <v>37</v>
      </c>
      <c r="I80" s="101">
        <v>1633.8</v>
      </c>
      <c r="J80" s="87">
        <v>2.88</v>
      </c>
      <c r="K80" s="108">
        <v>0</v>
      </c>
      <c r="L80" s="433"/>
      <c r="M80" s="433"/>
      <c r="N80" s="433"/>
    </row>
    <row r="81" spans="1:14" ht="19.5" x14ac:dyDescent="0.25">
      <c r="A81" s="108"/>
      <c r="B81" s="612" t="s">
        <v>22</v>
      </c>
      <c r="C81" s="613"/>
      <c r="D81" s="106"/>
      <c r="E81" s="47"/>
      <c r="F81" s="88">
        <f>SUM(F78:F80)</f>
        <v>1138.48</v>
      </c>
      <c r="G81" s="47"/>
      <c r="H81" s="47"/>
      <c r="I81" s="47"/>
      <c r="J81" s="88">
        <f>SUM(J78:J80)</f>
        <v>12.95</v>
      </c>
      <c r="K81" s="106"/>
      <c r="L81" s="47"/>
      <c r="M81" s="101"/>
      <c r="N81" s="101"/>
    </row>
    <row r="82" spans="1:14" ht="18.75" x14ac:dyDescent="0.25">
      <c r="A82" s="109"/>
      <c r="B82" s="109" t="s">
        <v>168</v>
      </c>
      <c r="C82" s="608"/>
      <c r="D82" s="608"/>
      <c r="E82" s="51"/>
      <c r="F82" s="52" t="e">
        <f>F31+F33+F35+F37+F39+F41+F43+#REF!+F48+#REF!+F51+F54+#REF!+F56+#REF!+#REF!+F59+F62+F64+F66+F71+F77+F81</f>
        <v>#REF!</v>
      </c>
      <c r="G82" s="51"/>
      <c r="H82" s="51"/>
      <c r="I82" s="51"/>
      <c r="J82" s="52" t="e">
        <f>J31+J33+J35+J37+J39+J41+J43+#REF!+J48+#REF!+J51+J54+#REF!+J56+#REF!+#REF!+J59+J62+J64+J66+J71+J77+J81</f>
        <v>#REF!</v>
      </c>
      <c r="K82" s="109"/>
      <c r="L82" s="51"/>
      <c r="M82" s="51"/>
      <c r="N82" s="51"/>
    </row>
    <row r="83" spans="1:14" ht="131.25" x14ac:dyDescent="0.25">
      <c r="A83" s="426">
        <v>39</v>
      </c>
      <c r="B83" s="426" t="s">
        <v>171</v>
      </c>
      <c r="C83" s="426" t="s">
        <v>169</v>
      </c>
      <c r="D83" s="108" t="s">
        <v>170</v>
      </c>
      <c r="E83" s="427" t="s">
        <v>172</v>
      </c>
      <c r="F83" s="87">
        <v>23.762</v>
      </c>
      <c r="G83" s="427" t="s">
        <v>173</v>
      </c>
      <c r="H83" s="101" t="s">
        <v>16</v>
      </c>
      <c r="I83" s="101">
        <v>895.024</v>
      </c>
      <c r="J83" s="87">
        <v>16.334</v>
      </c>
      <c r="K83" s="108">
        <v>1.45</v>
      </c>
      <c r="L83" s="427">
        <v>2018</v>
      </c>
      <c r="M83" s="427" t="s">
        <v>442</v>
      </c>
      <c r="N83" s="427" t="s">
        <v>21</v>
      </c>
    </row>
    <row r="84" spans="1:14" ht="112.5" x14ac:dyDescent="0.25">
      <c r="A84" s="426"/>
      <c r="B84" s="426"/>
      <c r="C84" s="426"/>
      <c r="D84" s="108" t="s">
        <v>174</v>
      </c>
      <c r="E84" s="427"/>
      <c r="F84" s="87">
        <v>12.754</v>
      </c>
      <c r="G84" s="427"/>
      <c r="H84" s="101" t="s">
        <v>16</v>
      </c>
      <c r="I84" s="101">
        <v>352.73599999999999</v>
      </c>
      <c r="J84" s="87">
        <v>6.4370000000000003</v>
      </c>
      <c r="K84" s="108">
        <v>1.98</v>
      </c>
      <c r="L84" s="427"/>
      <c r="M84" s="427"/>
      <c r="N84" s="427"/>
    </row>
    <row r="85" spans="1:14" ht="75" x14ac:dyDescent="0.25">
      <c r="A85" s="426"/>
      <c r="B85" s="426"/>
      <c r="C85" s="426"/>
      <c r="D85" s="108" t="s">
        <v>175</v>
      </c>
      <c r="E85" s="427"/>
      <c r="F85" s="87">
        <v>0.13600000000000001</v>
      </c>
      <c r="G85" s="427"/>
      <c r="H85" s="101" t="s">
        <v>16</v>
      </c>
      <c r="I85" s="101">
        <v>4.18</v>
      </c>
      <c r="J85" s="87">
        <v>7.5999999999999998E-2</v>
      </c>
      <c r="K85" s="108">
        <v>1.78</v>
      </c>
      <c r="L85" s="427"/>
      <c r="M85" s="427"/>
      <c r="N85" s="427"/>
    </row>
    <row r="86" spans="1:14" ht="19.5" x14ac:dyDescent="0.25">
      <c r="A86" s="108"/>
      <c r="B86" s="431" t="s">
        <v>22</v>
      </c>
      <c r="C86" s="431"/>
      <c r="D86" s="106"/>
      <c r="E86" s="47"/>
      <c r="F86" s="88">
        <f>SUM(F83:F85)</f>
        <v>36.652000000000001</v>
      </c>
      <c r="G86" s="47"/>
      <c r="H86" s="47"/>
      <c r="I86" s="47"/>
      <c r="J86" s="88">
        <f>SUM(J83:J85)</f>
        <v>22.847000000000001</v>
      </c>
      <c r="K86" s="106"/>
      <c r="L86" s="47"/>
      <c r="M86" s="101"/>
      <c r="N86" s="101"/>
    </row>
    <row r="87" spans="1:14" ht="56.25" x14ac:dyDescent="0.25">
      <c r="A87" s="452">
        <v>40</v>
      </c>
      <c r="B87" s="452" t="s">
        <v>178</v>
      </c>
      <c r="C87" s="452" t="s">
        <v>176</v>
      </c>
      <c r="D87" s="108" t="s">
        <v>177</v>
      </c>
      <c r="E87" s="449" t="s">
        <v>178</v>
      </c>
      <c r="F87" s="87">
        <v>7.7</v>
      </c>
      <c r="G87" s="449" t="s">
        <v>104</v>
      </c>
      <c r="H87" s="101" t="s">
        <v>16</v>
      </c>
      <c r="I87" s="101">
        <v>103500</v>
      </c>
      <c r="J87" s="87">
        <v>1.5820000000000001</v>
      </c>
      <c r="K87" s="108">
        <v>4.9000000000000004</v>
      </c>
      <c r="L87" s="449">
        <v>2018</v>
      </c>
      <c r="M87" s="449" t="s">
        <v>142</v>
      </c>
      <c r="N87" s="449" t="s">
        <v>21</v>
      </c>
    </row>
    <row r="88" spans="1:14" ht="18.75" x14ac:dyDescent="0.25">
      <c r="A88" s="434"/>
      <c r="B88" s="434"/>
      <c r="C88" s="434"/>
      <c r="D88" s="108" t="s">
        <v>179</v>
      </c>
      <c r="E88" s="433"/>
      <c r="F88" s="87">
        <v>4.3</v>
      </c>
      <c r="G88" s="433"/>
      <c r="H88" s="101" t="s">
        <v>37</v>
      </c>
      <c r="I88" s="101">
        <v>178.56</v>
      </c>
      <c r="J88" s="87">
        <v>0.51700000000000002</v>
      </c>
      <c r="K88" s="108">
        <v>5.2</v>
      </c>
      <c r="L88" s="433"/>
      <c r="M88" s="433"/>
      <c r="N88" s="433"/>
    </row>
    <row r="89" spans="1:14" ht="19.5" x14ac:dyDescent="0.25">
      <c r="A89" s="108"/>
      <c r="B89" s="612" t="s">
        <v>22</v>
      </c>
      <c r="C89" s="613"/>
      <c r="D89" s="106"/>
      <c r="E89" s="47"/>
      <c r="F89" s="88">
        <f>SUM(F87:F88)</f>
        <v>12</v>
      </c>
      <c r="G89" s="47"/>
      <c r="H89" s="47"/>
      <c r="I89" s="47"/>
      <c r="J89" s="88">
        <f>SUM(J87:J88)</f>
        <v>2.0990000000000002</v>
      </c>
      <c r="K89" s="106"/>
      <c r="L89" s="47"/>
      <c r="M89" s="101"/>
      <c r="N89" s="101"/>
    </row>
    <row r="90" spans="1:14" ht="37.5" x14ac:dyDescent="0.25">
      <c r="A90" s="452">
        <v>41</v>
      </c>
      <c r="B90" s="452" t="s">
        <v>182</v>
      </c>
      <c r="C90" s="452" t="s">
        <v>180</v>
      </c>
      <c r="D90" s="108" t="s">
        <v>181</v>
      </c>
      <c r="E90" s="449" t="s">
        <v>182</v>
      </c>
      <c r="F90" s="87">
        <v>1.02</v>
      </c>
      <c r="G90" s="449" t="s">
        <v>104</v>
      </c>
      <c r="H90" s="101" t="s">
        <v>16</v>
      </c>
      <c r="I90" s="101">
        <v>24600</v>
      </c>
      <c r="J90" s="87">
        <v>0.26617000000000002</v>
      </c>
      <c r="K90" s="108">
        <v>3.8</v>
      </c>
      <c r="L90" s="449">
        <v>2018</v>
      </c>
      <c r="M90" s="449" t="s">
        <v>142</v>
      </c>
      <c r="N90" s="449" t="s">
        <v>21</v>
      </c>
    </row>
    <row r="91" spans="1:14" ht="56.25" x14ac:dyDescent="0.25">
      <c r="A91" s="571"/>
      <c r="B91" s="571"/>
      <c r="C91" s="571"/>
      <c r="D91" s="108" t="s">
        <v>183</v>
      </c>
      <c r="E91" s="490"/>
      <c r="F91" s="87">
        <v>75.260000000000005</v>
      </c>
      <c r="G91" s="490"/>
      <c r="H91" s="101" t="s">
        <v>16</v>
      </c>
      <c r="I91" s="101">
        <v>496318</v>
      </c>
      <c r="J91" s="87">
        <v>5.476</v>
      </c>
      <c r="K91" s="108">
        <v>13.7</v>
      </c>
      <c r="L91" s="490"/>
      <c r="M91" s="490"/>
      <c r="N91" s="490"/>
    </row>
    <row r="92" spans="1:14" ht="37.5" x14ac:dyDescent="0.25">
      <c r="A92" s="571"/>
      <c r="B92" s="571"/>
      <c r="C92" s="571"/>
      <c r="D92" s="108" t="s">
        <v>184</v>
      </c>
      <c r="E92" s="490"/>
      <c r="F92" s="87">
        <v>4</v>
      </c>
      <c r="G92" s="490"/>
      <c r="H92" s="101" t="s">
        <v>16</v>
      </c>
      <c r="I92" s="101">
        <v>141800</v>
      </c>
      <c r="J92" s="87">
        <v>1.5343</v>
      </c>
      <c r="K92" s="108">
        <v>2.6</v>
      </c>
      <c r="L92" s="490"/>
      <c r="M92" s="490"/>
      <c r="N92" s="490"/>
    </row>
    <row r="93" spans="1:14" ht="56.25" x14ac:dyDescent="0.25">
      <c r="A93" s="434"/>
      <c r="B93" s="434"/>
      <c r="C93" s="434"/>
      <c r="D93" s="108" t="s">
        <v>185</v>
      </c>
      <c r="E93" s="433"/>
      <c r="F93" s="87">
        <v>58.52</v>
      </c>
      <c r="G93" s="433"/>
      <c r="H93" s="101" t="s">
        <v>16</v>
      </c>
      <c r="I93" s="101">
        <v>803000</v>
      </c>
      <c r="J93" s="87">
        <v>8.6884599999999992</v>
      </c>
      <c r="K93" s="108">
        <v>6.7</v>
      </c>
      <c r="L93" s="433"/>
      <c r="M93" s="433"/>
      <c r="N93" s="433"/>
    </row>
    <row r="94" spans="1:14" ht="19.5" x14ac:dyDescent="0.25">
      <c r="A94" s="108"/>
      <c r="B94" s="612" t="s">
        <v>22</v>
      </c>
      <c r="C94" s="613"/>
      <c r="D94" s="106"/>
      <c r="E94" s="47"/>
      <c r="F94" s="88">
        <f>SUM(F90:F93)</f>
        <v>138.80000000000001</v>
      </c>
      <c r="G94" s="47"/>
      <c r="H94" s="47"/>
      <c r="I94" s="47"/>
      <c r="J94" s="88">
        <f>SUM(J90:J93)</f>
        <v>15.964929999999999</v>
      </c>
      <c r="K94" s="106"/>
      <c r="L94" s="47"/>
      <c r="M94" s="101"/>
      <c r="N94" s="101"/>
    </row>
    <row r="95" spans="1:14" ht="131.25" x14ac:dyDescent="0.25">
      <c r="A95" s="108">
        <v>42</v>
      </c>
      <c r="B95" s="108" t="s">
        <v>188</v>
      </c>
      <c r="C95" s="108" t="s">
        <v>186</v>
      </c>
      <c r="D95" s="108" t="s">
        <v>187</v>
      </c>
      <c r="E95" s="101" t="s">
        <v>189</v>
      </c>
      <c r="F95" s="87">
        <v>54.3</v>
      </c>
      <c r="G95" s="101" t="s">
        <v>190</v>
      </c>
      <c r="H95" s="101" t="s">
        <v>16</v>
      </c>
      <c r="I95" s="101">
        <v>523336</v>
      </c>
      <c r="J95" s="87">
        <v>9.35</v>
      </c>
      <c r="K95" s="108">
        <v>5.8</v>
      </c>
      <c r="L95" s="101">
        <v>2018</v>
      </c>
      <c r="M95" s="101" t="s">
        <v>142</v>
      </c>
      <c r="N95" s="101" t="s">
        <v>21</v>
      </c>
    </row>
    <row r="96" spans="1:14" ht="19.5" x14ac:dyDescent="0.25">
      <c r="A96" s="108"/>
      <c r="B96" s="431" t="s">
        <v>22</v>
      </c>
      <c r="C96" s="431"/>
      <c r="D96" s="106"/>
      <c r="E96" s="47"/>
      <c r="F96" s="88">
        <f>SUM(F95)</f>
        <v>54.3</v>
      </c>
      <c r="G96" s="47"/>
      <c r="H96" s="47"/>
      <c r="I96" s="47"/>
      <c r="J96" s="88">
        <f>SUM(J95)</f>
        <v>9.35</v>
      </c>
      <c r="K96" s="106"/>
      <c r="L96" s="47"/>
      <c r="M96" s="101"/>
      <c r="N96" s="101"/>
    </row>
    <row r="97" spans="1:14" ht="56.25" x14ac:dyDescent="0.25">
      <c r="A97" s="426">
        <v>43</v>
      </c>
      <c r="B97" s="426" t="s">
        <v>193</v>
      </c>
      <c r="C97" s="426" t="s">
        <v>191</v>
      </c>
      <c r="D97" s="108" t="s">
        <v>192</v>
      </c>
      <c r="E97" s="427" t="s">
        <v>193</v>
      </c>
      <c r="F97" s="87">
        <v>14</v>
      </c>
      <c r="G97" s="427" t="s">
        <v>104</v>
      </c>
      <c r="H97" s="101" t="s">
        <v>37</v>
      </c>
      <c r="I97" s="101">
        <v>531.20000000000005</v>
      </c>
      <c r="J97" s="87">
        <v>3.5057</v>
      </c>
      <c r="K97" s="108">
        <v>4</v>
      </c>
      <c r="L97" s="427">
        <v>2018</v>
      </c>
      <c r="M97" s="427" t="s">
        <v>492</v>
      </c>
      <c r="N97" s="427" t="s">
        <v>21</v>
      </c>
    </row>
    <row r="98" spans="1:14" ht="37.5" x14ac:dyDescent="0.25">
      <c r="A98" s="426"/>
      <c r="B98" s="426"/>
      <c r="C98" s="426"/>
      <c r="D98" s="108" t="s">
        <v>194</v>
      </c>
      <c r="E98" s="427"/>
      <c r="F98" s="87">
        <v>26.114999999999998</v>
      </c>
      <c r="G98" s="427"/>
      <c r="H98" s="101" t="s">
        <v>16</v>
      </c>
      <c r="I98" s="101">
        <v>721.7</v>
      </c>
      <c r="J98" s="87">
        <v>9.4594000000000005</v>
      </c>
      <c r="K98" s="108">
        <v>2.8</v>
      </c>
      <c r="L98" s="427"/>
      <c r="M98" s="427"/>
      <c r="N98" s="427"/>
    </row>
    <row r="99" spans="1:14" ht="37.5" x14ac:dyDescent="0.25">
      <c r="A99" s="426"/>
      <c r="B99" s="426"/>
      <c r="C99" s="426"/>
      <c r="D99" s="108" t="s">
        <v>195</v>
      </c>
      <c r="E99" s="427"/>
      <c r="F99" s="87">
        <v>0.08</v>
      </c>
      <c r="G99" s="427"/>
      <c r="H99" s="101" t="s">
        <v>16</v>
      </c>
      <c r="I99" s="101">
        <v>9.5</v>
      </c>
      <c r="J99" s="87">
        <v>0.1227</v>
      </c>
      <c r="K99" s="108">
        <v>0.7</v>
      </c>
      <c r="L99" s="427"/>
      <c r="M99" s="427"/>
      <c r="N99" s="427"/>
    </row>
    <row r="100" spans="1:14" ht="18.75" x14ac:dyDescent="0.25">
      <c r="A100" s="426"/>
      <c r="B100" s="426"/>
      <c r="C100" s="426"/>
      <c r="D100" s="108" t="s">
        <v>196</v>
      </c>
      <c r="E100" s="427"/>
      <c r="F100" s="87">
        <v>3.4079999999999999</v>
      </c>
      <c r="G100" s="427"/>
      <c r="H100" s="101" t="s">
        <v>16</v>
      </c>
      <c r="I100" s="101">
        <v>71.400000000000006</v>
      </c>
      <c r="J100" s="87">
        <v>0.96109999999999995</v>
      </c>
      <c r="K100" s="108">
        <v>3.5</v>
      </c>
      <c r="L100" s="427"/>
      <c r="M100" s="427"/>
      <c r="N100" s="427"/>
    </row>
    <row r="101" spans="1:14" ht="19.5" x14ac:dyDescent="0.25">
      <c r="A101" s="108"/>
      <c r="B101" s="431" t="s">
        <v>22</v>
      </c>
      <c r="C101" s="431"/>
      <c r="D101" s="106"/>
      <c r="E101" s="47"/>
      <c r="F101" s="88">
        <f>SUM(F97:F100)</f>
        <v>43.602999999999994</v>
      </c>
      <c r="G101" s="47"/>
      <c r="H101" s="47"/>
      <c r="I101" s="47"/>
      <c r="J101" s="88">
        <f>SUM(J97:J100)</f>
        <v>14.0489</v>
      </c>
      <c r="K101" s="106"/>
      <c r="L101" s="47"/>
      <c r="M101" s="101"/>
      <c r="N101" s="101"/>
    </row>
    <row r="102" spans="1:14" ht="37.5" x14ac:dyDescent="0.25">
      <c r="A102" s="426">
        <v>44</v>
      </c>
      <c r="B102" s="426" t="s">
        <v>199</v>
      </c>
      <c r="C102" s="426" t="s">
        <v>197</v>
      </c>
      <c r="D102" s="108" t="s">
        <v>198</v>
      </c>
      <c r="E102" s="427" t="s">
        <v>199</v>
      </c>
      <c r="F102" s="87">
        <v>39</v>
      </c>
      <c r="G102" s="427" t="s">
        <v>104</v>
      </c>
      <c r="H102" s="427" t="s">
        <v>16</v>
      </c>
      <c r="I102" s="101">
        <v>98400</v>
      </c>
      <c r="J102" s="87">
        <v>1.117</v>
      </c>
      <c r="K102" s="54">
        <v>7.6</v>
      </c>
      <c r="L102" s="427">
        <v>2018</v>
      </c>
      <c r="M102" s="427" t="s">
        <v>43</v>
      </c>
      <c r="N102" s="427" t="s">
        <v>21</v>
      </c>
    </row>
    <row r="103" spans="1:14" ht="37.5" x14ac:dyDescent="0.25">
      <c r="A103" s="426"/>
      <c r="B103" s="426"/>
      <c r="C103" s="426"/>
      <c r="D103" s="108" t="s">
        <v>200</v>
      </c>
      <c r="E103" s="427"/>
      <c r="F103" s="87">
        <v>0.7</v>
      </c>
      <c r="G103" s="427"/>
      <c r="H103" s="427"/>
      <c r="I103" s="101">
        <v>41600</v>
      </c>
      <c r="J103" s="87">
        <v>0.437</v>
      </c>
      <c r="K103" s="54">
        <v>1.6</v>
      </c>
      <c r="L103" s="427"/>
      <c r="M103" s="427"/>
      <c r="N103" s="427"/>
    </row>
    <row r="104" spans="1:14" ht="37.5" x14ac:dyDescent="0.25">
      <c r="A104" s="426"/>
      <c r="B104" s="426"/>
      <c r="C104" s="426"/>
      <c r="D104" s="108" t="s">
        <v>201</v>
      </c>
      <c r="E104" s="427"/>
      <c r="F104" s="87">
        <v>13</v>
      </c>
      <c r="G104" s="427"/>
      <c r="H104" s="427"/>
      <c r="I104" s="101">
        <v>89907.4</v>
      </c>
      <c r="J104" s="87">
        <v>5.51</v>
      </c>
      <c r="K104" s="54">
        <v>2.4</v>
      </c>
      <c r="L104" s="427"/>
      <c r="M104" s="427"/>
      <c r="N104" s="427"/>
    </row>
    <row r="105" spans="1:14" ht="75" x14ac:dyDescent="0.25">
      <c r="A105" s="426"/>
      <c r="B105" s="426"/>
      <c r="C105" s="426"/>
      <c r="D105" s="108" t="s">
        <v>202</v>
      </c>
      <c r="E105" s="427"/>
      <c r="F105" s="87">
        <v>22.3</v>
      </c>
      <c r="G105" s="427"/>
      <c r="H105" s="427"/>
      <c r="I105" s="101">
        <v>1647721</v>
      </c>
      <c r="J105" s="87">
        <v>37.402999999999999</v>
      </c>
      <c r="K105" s="54">
        <v>0.6</v>
      </c>
      <c r="L105" s="427"/>
      <c r="M105" s="427"/>
      <c r="N105" s="427"/>
    </row>
    <row r="106" spans="1:14" ht="19.5" x14ac:dyDescent="0.25">
      <c r="A106" s="108"/>
      <c r="B106" s="431" t="s">
        <v>22</v>
      </c>
      <c r="C106" s="431"/>
      <c r="D106" s="106"/>
      <c r="E106" s="47"/>
      <c r="F106" s="88">
        <f>SUM(F102:F105)</f>
        <v>75</v>
      </c>
      <c r="G106" s="47"/>
      <c r="H106" s="47"/>
      <c r="I106" s="47"/>
      <c r="J106" s="88">
        <f>SUM(J102:J105)</f>
        <v>44.466999999999999</v>
      </c>
      <c r="K106" s="106"/>
      <c r="L106" s="47"/>
      <c r="M106" s="101"/>
      <c r="N106" s="101"/>
    </row>
    <row r="107" spans="1:14" ht="18.75" x14ac:dyDescent="0.25">
      <c r="A107" s="426">
        <v>45</v>
      </c>
      <c r="B107" s="426" t="s">
        <v>205</v>
      </c>
      <c r="C107" s="426" t="s">
        <v>203</v>
      </c>
      <c r="D107" s="108" t="s">
        <v>204</v>
      </c>
      <c r="E107" s="427" t="s">
        <v>205</v>
      </c>
      <c r="F107" s="87">
        <v>574.49300000000005</v>
      </c>
      <c r="G107" s="427" t="s">
        <v>104</v>
      </c>
      <c r="H107" s="101" t="s">
        <v>16</v>
      </c>
      <c r="I107" s="101">
        <v>12750400</v>
      </c>
      <c r="J107" s="87">
        <v>228.10499999999999</v>
      </c>
      <c r="K107" s="54">
        <v>2.6</v>
      </c>
      <c r="L107" s="427">
        <v>2018</v>
      </c>
      <c r="M107" s="427" t="s">
        <v>1148</v>
      </c>
      <c r="N107" s="427" t="s">
        <v>21</v>
      </c>
    </row>
    <row r="108" spans="1:14" ht="18.75" x14ac:dyDescent="0.25">
      <c r="A108" s="426"/>
      <c r="B108" s="426"/>
      <c r="C108" s="426"/>
      <c r="D108" s="108" t="s">
        <v>206</v>
      </c>
      <c r="E108" s="427"/>
      <c r="F108" s="87">
        <v>204.91499999999999</v>
      </c>
      <c r="G108" s="427"/>
      <c r="H108" s="101" t="s">
        <v>16</v>
      </c>
      <c r="I108" s="101">
        <v>435060</v>
      </c>
      <c r="J108" s="87">
        <v>7.7830000000000004</v>
      </c>
      <c r="K108" s="54">
        <v>26</v>
      </c>
      <c r="L108" s="427"/>
      <c r="M108" s="427"/>
      <c r="N108" s="427"/>
    </row>
    <row r="109" spans="1:14" ht="56.25" x14ac:dyDescent="0.25">
      <c r="A109" s="426"/>
      <c r="B109" s="426"/>
      <c r="C109" s="426"/>
      <c r="D109" s="108" t="s">
        <v>207</v>
      </c>
      <c r="E109" s="427"/>
      <c r="F109" s="87">
        <v>63.078000000000003</v>
      </c>
      <c r="G109" s="427"/>
      <c r="H109" s="101" t="s">
        <v>208</v>
      </c>
      <c r="I109" s="101">
        <v>100076.2</v>
      </c>
      <c r="J109" s="87">
        <v>17.417000000000002</v>
      </c>
      <c r="K109" s="54">
        <v>3.5</v>
      </c>
      <c r="L109" s="427"/>
      <c r="M109" s="427"/>
      <c r="N109" s="427"/>
    </row>
    <row r="110" spans="1:14" ht="37.5" x14ac:dyDescent="0.25">
      <c r="A110" s="426"/>
      <c r="B110" s="426"/>
      <c r="C110" s="426"/>
      <c r="D110" s="108" t="s">
        <v>209</v>
      </c>
      <c r="E110" s="427"/>
      <c r="F110" s="87">
        <v>620</v>
      </c>
      <c r="G110" s="427"/>
      <c r="H110" s="101" t="s">
        <v>16</v>
      </c>
      <c r="I110" s="101">
        <v>13663100</v>
      </c>
      <c r="J110" s="87">
        <v>244.43299999999999</v>
      </c>
      <c r="K110" s="54">
        <v>2.5</v>
      </c>
      <c r="L110" s="427"/>
      <c r="M110" s="427"/>
      <c r="N110" s="427"/>
    </row>
    <row r="111" spans="1:14" ht="56.25" x14ac:dyDescent="0.25">
      <c r="A111" s="426"/>
      <c r="B111" s="426"/>
      <c r="C111" s="426"/>
      <c r="D111" s="108" t="s">
        <v>210</v>
      </c>
      <c r="E111" s="427"/>
      <c r="F111" s="87">
        <v>1030</v>
      </c>
      <c r="G111" s="427"/>
      <c r="H111" s="101" t="s">
        <v>16</v>
      </c>
      <c r="I111" s="101">
        <v>40000000</v>
      </c>
      <c r="J111" s="87">
        <v>715.6</v>
      </c>
      <c r="K111" s="54">
        <v>1.4</v>
      </c>
      <c r="L111" s="427"/>
      <c r="M111" s="427"/>
      <c r="N111" s="427"/>
    </row>
    <row r="112" spans="1:14" ht="56.25" x14ac:dyDescent="0.25">
      <c r="A112" s="426"/>
      <c r="B112" s="426"/>
      <c r="C112" s="426"/>
      <c r="D112" s="108" t="s">
        <v>211</v>
      </c>
      <c r="E112" s="427"/>
      <c r="F112" s="87">
        <v>28</v>
      </c>
      <c r="G112" s="427"/>
      <c r="H112" s="101" t="s">
        <v>37</v>
      </c>
      <c r="I112" s="101">
        <v>12878</v>
      </c>
      <c r="J112" s="87">
        <v>25.8</v>
      </c>
      <c r="K112" s="54">
        <v>1</v>
      </c>
      <c r="L112" s="427"/>
      <c r="M112" s="427"/>
      <c r="N112" s="427"/>
    </row>
    <row r="113" spans="1:14" ht="37.5" x14ac:dyDescent="0.25">
      <c r="A113" s="426"/>
      <c r="B113" s="426"/>
      <c r="C113" s="426"/>
      <c r="D113" s="108" t="s">
        <v>212</v>
      </c>
      <c r="E113" s="427"/>
      <c r="F113" s="87">
        <v>75</v>
      </c>
      <c r="G113" s="427"/>
      <c r="H113" s="101" t="s">
        <v>16</v>
      </c>
      <c r="I113" s="101">
        <v>655200</v>
      </c>
      <c r="J113" s="87">
        <v>11.722</v>
      </c>
      <c r="K113" s="54">
        <v>6.5</v>
      </c>
      <c r="L113" s="427"/>
      <c r="M113" s="427"/>
      <c r="N113" s="427"/>
    </row>
    <row r="114" spans="1:14" ht="75" x14ac:dyDescent="0.25">
      <c r="A114" s="426"/>
      <c r="B114" s="426"/>
      <c r="C114" s="426"/>
      <c r="D114" s="108" t="s">
        <v>213</v>
      </c>
      <c r="E114" s="427"/>
      <c r="F114" s="87">
        <v>818.8</v>
      </c>
      <c r="G114" s="427"/>
      <c r="H114" s="101" t="s">
        <v>16</v>
      </c>
      <c r="I114" s="101">
        <v>28496</v>
      </c>
      <c r="J114" s="87">
        <v>509.791</v>
      </c>
      <c r="K114" s="54">
        <v>1.6</v>
      </c>
      <c r="L114" s="427"/>
      <c r="M114" s="427"/>
      <c r="N114" s="427"/>
    </row>
    <row r="115" spans="1:14" ht="56.25" x14ac:dyDescent="0.25">
      <c r="A115" s="426"/>
      <c r="B115" s="426"/>
      <c r="C115" s="426"/>
      <c r="D115" s="108" t="s">
        <v>214</v>
      </c>
      <c r="E115" s="427"/>
      <c r="F115" s="87">
        <v>200</v>
      </c>
      <c r="G115" s="427"/>
      <c r="H115" s="101" t="s">
        <v>16</v>
      </c>
      <c r="I115" s="101">
        <v>6991000</v>
      </c>
      <c r="J115" s="87">
        <v>164.84800000000001</v>
      </c>
      <c r="K115" s="54">
        <v>1.3</v>
      </c>
      <c r="L115" s="427"/>
      <c r="M115" s="427"/>
      <c r="N115" s="427"/>
    </row>
    <row r="116" spans="1:14" ht="19.5" x14ac:dyDescent="0.25">
      <c r="A116" s="108"/>
      <c r="B116" s="431" t="s">
        <v>22</v>
      </c>
      <c r="C116" s="431"/>
      <c r="D116" s="106"/>
      <c r="E116" s="47"/>
      <c r="F116" s="88">
        <f>SUM(F107:F115)</f>
        <v>3614.2860000000001</v>
      </c>
      <c r="G116" s="47"/>
      <c r="H116" s="47"/>
      <c r="I116" s="47"/>
      <c r="J116" s="88">
        <f>SUM(J107:J115)</f>
        <v>1925.4989999999998</v>
      </c>
      <c r="K116" s="106"/>
      <c r="L116" s="47"/>
      <c r="M116" s="101"/>
      <c r="N116" s="101"/>
    </row>
    <row r="117" spans="1:14" ht="37.5" x14ac:dyDescent="0.25">
      <c r="A117" s="426">
        <v>46</v>
      </c>
      <c r="B117" s="426" t="s">
        <v>217</v>
      </c>
      <c r="C117" s="426" t="s">
        <v>215</v>
      </c>
      <c r="D117" s="108" t="s">
        <v>216</v>
      </c>
      <c r="E117" s="427" t="s">
        <v>217</v>
      </c>
      <c r="F117" s="87">
        <v>790.62599999999998</v>
      </c>
      <c r="G117" s="427" t="s">
        <v>104</v>
      </c>
      <c r="H117" s="101" t="s">
        <v>16</v>
      </c>
      <c r="I117" s="101">
        <v>4289829</v>
      </c>
      <c r="J117" s="87">
        <v>95.278000000000006</v>
      </c>
      <c r="K117" s="54">
        <v>3.4</v>
      </c>
      <c r="L117" s="427">
        <v>2018</v>
      </c>
      <c r="M117" s="427" t="s">
        <v>218</v>
      </c>
      <c r="N117" s="427" t="s">
        <v>21</v>
      </c>
    </row>
    <row r="118" spans="1:14" ht="56.25" x14ac:dyDescent="0.25">
      <c r="A118" s="426"/>
      <c r="B118" s="426"/>
      <c r="C118" s="426"/>
      <c r="D118" s="108" t="s">
        <v>219</v>
      </c>
      <c r="E118" s="427"/>
      <c r="F118" s="87">
        <v>20.48</v>
      </c>
      <c r="G118" s="427"/>
      <c r="H118" s="101" t="s">
        <v>220</v>
      </c>
      <c r="I118" s="101">
        <v>48240.6</v>
      </c>
      <c r="J118" s="87">
        <v>13.241</v>
      </c>
      <c r="K118" s="54">
        <v>1.5</v>
      </c>
      <c r="L118" s="427"/>
      <c r="M118" s="427"/>
      <c r="N118" s="427"/>
    </row>
    <row r="119" spans="1:14" ht="37.5" x14ac:dyDescent="0.25">
      <c r="A119" s="426"/>
      <c r="B119" s="426"/>
      <c r="C119" s="426"/>
      <c r="D119" s="108" t="s">
        <v>221</v>
      </c>
      <c r="E119" s="427"/>
      <c r="F119" s="87">
        <v>11.589</v>
      </c>
      <c r="G119" s="427"/>
      <c r="H119" s="101" t="s">
        <v>208</v>
      </c>
      <c r="I119" s="101">
        <v>43200</v>
      </c>
      <c r="J119" s="87">
        <v>5.4359999999999999</v>
      </c>
      <c r="K119" s="54">
        <v>2</v>
      </c>
      <c r="L119" s="427"/>
      <c r="M119" s="427"/>
      <c r="N119" s="427"/>
    </row>
    <row r="120" spans="1:14" ht="19.5" x14ac:dyDescent="0.25">
      <c r="A120" s="108"/>
      <c r="B120" s="431" t="s">
        <v>22</v>
      </c>
      <c r="C120" s="431"/>
      <c r="D120" s="106"/>
      <c r="E120" s="47"/>
      <c r="F120" s="88">
        <f>SUM(F117:F119)</f>
        <v>822.69500000000005</v>
      </c>
      <c r="G120" s="47"/>
      <c r="H120" s="47"/>
      <c r="I120" s="47"/>
      <c r="J120" s="88">
        <f>SUM(J117:J119)</f>
        <v>113.95500000000001</v>
      </c>
      <c r="K120" s="106"/>
      <c r="L120" s="47"/>
      <c r="M120" s="101"/>
      <c r="N120" s="101"/>
    </row>
    <row r="121" spans="1:14" ht="37.5" x14ac:dyDescent="0.25">
      <c r="A121" s="108">
        <v>47</v>
      </c>
      <c r="B121" s="108" t="s">
        <v>171</v>
      </c>
      <c r="C121" s="108" t="s">
        <v>222</v>
      </c>
      <c r="D121" s="108" t="s">
        <v>223</v>
      </c>
      <c r="E121" s="101" t="s">
        <v>224</v>
      </c>
      <c r="F121" s="87">
        <v>53</v>
      </c>
      <c r="G121" s="101" t="s">
        <v>225</v>
      </c>
      <c r="H121" s="101" t="s">
        <v>16</v>
      </c>
      <c r="I121" s="101">
        <v>2915000</v>
      </c>
      <c r="J121" s="87">
        <v>46.115000000000002</v>
      </c>
      <c r="K121" s="108">
        <v>1.1000000000000001</v>
      </c>
      <c r="L121" s="101">
        <v>2018</v>
      </c>
      <c r="M121" s="101" t="s">
        <v>27</v>
      </c>
      <c r="N121" s="101" t="s">
        <v>21</v>
      </c>
    </row>
    <row r="122" spans="1:14" ht="19.5" x14ac:dyDescent="0.25">
      <c r="A122" s="108"/>
      <c r="B122" s="431" t="s">
        <v>22</v>
      </c>
      <c r="C122" s="431"/>
      <c r="D122" s="106"/>
      <c r="E122" s="47"/>
      <c r="F122" s="88">
        <f>SUM(F121)</f>
        <v>53</v>
      </c>
      <c r="G122" s="47"/>
      <c r="H122" s="47"/>
      <c r="I122" s="47"/>
      <c r="J122" s="88">
        <f>SUM(J121)</f>
        <v>46.115000000000002</v>
      </c>
      <c r="K122" s="106"/>
      <c r="L122" s="47"/>
      <c r="M122" s="101"/>
      <c r="N122" s="101"/>
    </row>
    <row r="123" spans="1:14" ht="93.75" x14ac:dyDescent="0.25">
      <c r="A123" s="108">
        <v>48</v>
      </c>
      <c r="B123" s="108" t="s">
        <v>228</v>
      </c>
      <c r="C123" s="108" t="s">
        <v>226</v>
      </c>
      <c r="D123" s="108" t="s">
        <v>227</v>
      </c>
      <c r="E123" s="101" t="s">
        <v>228</v>
      </c>
      <c r="F123" s="87">
        <v>5.0659000000000001</v>
      </c>
      <c r="G123" s="101" t="s">
        <v>104</v>
      </c>
      <c r="H123" s="101" t="s">
        <v>16</v>
      </c>
      <c r="I123" s="101">
        <v>160180</v>
      </c>
      <c r="J123" s="87">
        <v>3.0701999999999998</v>
      </c>
      <c r="K123" s="108">
        <v>1.6</v>
      </c>
      <c r="L123" s="101">
        <v>2018</v>
      </c>
      <c r="M123" s="101" t="s">
        <v>438</v>
      </c>
      <c r="N123" s="101" t="s">
        <v>21</v>
      </c>
    </row>
    <row r="124" spans="1:14" ht="19.5" x14ac:dyDescent="0.25">
      <c r="A124" s="108"/>
      <c r="B124" s="431" t="s">
        <v>22</v>
      </c>
      <c r="C124" s="431"/>
      <c r="D124" s="106"/>
      <c r="E124" s="47"/>
      <c r="F124" s="88">
        <f>SUM(F123)</f>
        <v>5.0659000000000001</v>
      </c>
      <c r="G124" s="47"/>
      <c r="H124" s="47"/>
      <c r="I124" s="47"/>
      <c r="J124" s="88">
        <f>SUM(J123)</f>
        <v>3.0701999999999998</v>
      </c>
      <c r="K124" s="106"/>
      <c r="L124" s="47"/>
      <c r="M124" s="101"/>
      <c r="N124" s="101"/>
    </row>
    <row r="125" spans="1:14" ht="56.25" x14ac:dyDescent="0.25">
      <c r="A125" s="108">
        <v>49</v>
      </c>
      <c r="B125" s="108" t="s">
        <v>231</v>
      </c>
      <c r="C125" s="108" t="s">
        <v>229</v>
      </c>
      <c r="D125" s="108" t="s">
        <v>230</v>
      </c>
      <c r="E125" s="101" t="s">
        <v>231</v>
      </c>
      <c r="F125" s="87">
        <v>22.5</v>
      </c>
      <c r="G125" s="101" t="s">
        <v>104</v>
      </c>
      <c r="H125" s="101" t="s">
        <v>16</v>
      </c>
      <c r="I125" s="101">
        <v>592130</v>
      </c>
      <c r="J125" s="87">
        <v>7.0940000000000003</v>
      </c>
      <c r="K125" s="108">
        <v>3.17</v>
      </c>
      <c r="L125" s="101">
        <v>2018</v>
      </c>
      <c r="M125" s="101" t="s">
        <v>218</v>
      </c>
      <c r="N125" s="101" t="s">
        <v>21</v>
      </c>
    </row>
    <row r="126" spans="1:14" ht="19.5" x14ac:dyDescent="0.25">
      <c r="A126" s="108"/>
      <c r="B126" s="431" t="s">
        <v>22</v>
      </c>
      <c r="C126" s="431"/>
      <c r="D126" s="106"/>
      <c r="E126" s="47"/>
      <c r="F126" s="88">
        <f>SUM(F125)</f>
        <v>22.5</v>
      </c>
      <c r="G126" s="47"/>
      <c r="H126" s="47"/>
      <c r="I126" s="47"/>
      <c r="J126" s="88">
        <f>SUM(J125)</f>
        <v>7.0940000000000003</v>
      </c>
      <c r="K126" s="106"/>
      <c r="L126" s="47"/>
      <c r="M126" s="101"/>
      <c r="N126" s="101"/>
    </row>
    <row r="127" spans="1:14" ht="37.5" x14ac:dyDescent="0.25">
      <c r="A127" s="426">
        <v>50</v>
      </c>
      <c r="B127" s="426" t="s">
        <v>234</v>
      </c>
      <c r="C127" s="426" t="s">
        <v>232</v>
      </c>
      <c r="D127" s="108" t="s">
        <v>233</v>
      </c>
      <c r="E127" s="427" t="s">
        <v>234</v>
      </c>
      <c r="F127" s="87">
        <v>3.3889999999999998</v>
      </c>
      <c r="G127" s="427" t="s">
        <v>104</v>
      </c>
      <c r="H127" s="101" t="s">
        <v>16</v>
      </c>
      <c r="I127" s="101">
        <v>400000</v>
      </c>
      <c r="J127" s="87">
        <v>1.24089</v>
      </c>
      <c r="K127" s="108">
        <v>2.6</v>
      </c>
      <c r="L127" s="427">
        <v>2018</v>
      </c>
      <c r="M127" s="427" t="s">
        <v>499</v>
      </c>
      <c r="N127" s="427" t="s">
        <v>21</v>
      </c>
    </row>
    <row r="128" spans="1:14" ht="18.75" x14ac:dyDescent="0.25">
      <c r="A128" s="426"/>
      <c r="B128" s="426"/>
      <c r="C128" s="426"/>
      <c r="D128" s="426" t="s">
        <v>235</v>
      </c>
      <c r="E128" s="427"/>
      <c r="F128" s="530">
        <v>948.65</v>
      </c>
      <c r="G128" s="427"/>
      <c r="H128" s="101" t="s">
        <v>16</v>
      </c>
      <c r="I128" s="101">
        <v>2736800</v>
      </c>
      <c r="J128" s="87">
        <v>8.4730000000000008</v>
      </c>
      <c r="K128" s="426">
        <v>5.3</v>
      </c>
      <c r="L128" s="427"/>
      <c r="M128" s="427"/>
      <c r="N128" s="427"/>
    </row>
    <row r="129" spans="1:14" ht="18.75" x14ac:dyDescent="0.25">
      <c r="A129" s="426"/>
      <c r="B129" s="426"/>
      <c r="C129" s="426"/>
      <c r="D129" s="426"/>
      <c r="E129" s="427"/>
      <c r="F129" s="530"/>
      <c r="G129" s="427"/>
      <c r="H129" s="101" t="s">
        <v>236</v>
      </c>
      <c r="I129" s="101">
        <v>799040</v>
      </c>
      <c r="J129" s="87">
        <v>167.39500000000001</v>
      </c>
      <c r="K129" s="426"/>
      <c r="L129" s="427"/>
      <c r="M129" s="427"/>
      <c r="N129" s="427"/>
    </row>
    <row r="130" spans="1:14" ht="19.5" x14ac:dyDescent="0.25">
      <c r="A130" s="108"/>
      <c r="B130" s="431" t="s">
        <v>22</v>
      </c>
      <c r="C130" s="431"/>
      <c r="D130" s="106"/>
      <c r="E130" s="47"/>
      <c r="F130" s="88">
        <f>SUM(F127:F129)</f>
        <v>952.03899999999999</v>
      </c>
      <c r="G130" s="47"/>
      <c r="H130" s="47"/>
      <c r="I130" s="47"/>
      <c r="J130" s="88">
        <f>SUM(J127:J129)</f>
        <v>177.10889</v>
      </c>
      <c r="K130" s="106"/>
      <c r="L130" s="47"/>
      <c r="M130" s="101"/>
      <c r="N130" s="101"/>
    </row>
    <row r="131" spans="1:14" ht="37.5" x14ac:dyDescent="0.25">
      <c r="A131" s="108">
        <v>51</v>
      </c>
      <c r="B131" s="108" t="s">
        <v>239</v>
      </c>
      <c r="C131" s="108" t="s">
        <v>237</v>
      </c>
      <c r="D131" s="108" t="s">
        <v>238</v>
      </c>
      <c r="E131" s="101" t="s">
        <v>239</v>
      </c>
      <c r="F131" s="87">
        <v>6.5183999999999997</v>
      </c>
      <c r="G131" s="101" t="s">
        <v>104</v>
      </c>
      <c r="H131" s="101" t="s">
        <v>16</v>
      </c>
      <c r="I131" s="101">
        <v>383423</v>
      </c>
      <c r="J131" s="55">
        <v>6.5182000000000002</v>
      </c>
      <c r="K131" s="108">
        <v>1</v>
      </c>
      <c r="L131" s="101">
        <v>2018</v>
      </c>
      <c r="M131" s="101" t="s">
        <v>20</v>
      </c>
      <c r="N131" s="101" t="s">
        <v>21</v>
      </c>
    </row>
    <row r="132" spans="1:14" ht="19.5" x14ac:dyDescent="0.25">
      <c r="A132" s="108"/>
      <c r="B132" s="431" t="s">
        <v>22</v>
      </c>
      <c r="C132" s="431"/>
      <c r="D132" s="106"/>
      <c r="E132" s="47"/>
      <c r="F132" s="88">
        <f>SUM(F131)</f>
        <v>6.5183999999999997</v>
      </c>
      <c r="G132" s="47"/>
      <c r="H132" s="47"/>
      <c r="I132" s="47"/>
      <c r="J132" s="88">
        <f>SUM(J131)</f>
        <v>6.5182000000000002</v>
      </c>
      <c r="K132" s="106"/>
      <c r="L132" s="47"/>
      <c r="M132" s="101"/>
      <c r="N132" s="101"/>
    </row>
    <row r="133" spans="1:14" ht="37.5" x14ac:dyDescent="0.25">
      <c r="A133" s="426">
        <v>52</v>
      </c>
      <c r="B133" s="426" t="s">
        <v>241</v>
      </c>
      <c r="C133" s="426" t="s">
        <v>240</v>
      </c>
      <c r="D133" s="108" t="s">
        <v>148</v>
      </c>
      <c r="E133" s="427" t="s">
        <v>241</v>
      </c>
      <c r="F133" s="87">
        <v>0.64400000000000002</v>
      </c>
      <c r="G133" s="427" t="s">
        <v>104</v>
      </c>
      <c r="H133" s="101" t="s">
        <v>16</v>
      </c>
      <c r="I133" s="101">
        <v>1302</v>
      </c>
      <c r="J133" s="87">
        <v>0.23799999999999999</v>
      </c>
      <c r="K133" s="108">
        <v>2.7</v>
      </c>
      <c r="L133" s="427">
        <v>2018</v>
      </c>
      <c r="M133" s="427" t="s">
        <v>492</v>
      </c>
      <c r="N133" s="427" t="s">
        <v>21</v>
      </c>
    </row>
    <row r="134" spans="1:14" ht="56.25" x14ac:dyDescent="0.25">
      <c r="A134" s="426"/>
      <c r="B134" s="426"/>
      <c r="C134" s="426"/>
      <c r="D134" s="108" t="s">
        <v>242</v>
      </c>
      <c r="E134" s="427"/>
      <c r="F134" s="87">
        <v>5.58</v>
      </c>
      <c r="G134" s="427"/>
      <c r="H134" s="101" t="s">
        <v>16</v>
      </c>
      <c r="I134" s="101">
        <v>45713</v>
      </c>
      <c r="J134" s="87">
        <v>0.83699999999999997</v>
      </c>
      <c r="K134" s="108">
        <v>6.6</v>
      </c>
      <c r="L134" s="427"/>
      <c r="M134" s="427"/>
      <c r="N134" s="427"/>
    </row>
    <row r="135" spans="1:14" ht="19.5" x14ac:dyDescent="0.25">
      <c r="A135" s="108"/>
      <c r="B135" s="431" t="s">
        <v>22</v>
      </c>
      <c r="C135" s="431"/>
      <c r="D135" s="106"/>
      <c r="E135" s="47"/>
      <c r="F135" s="88">
        <f>SUM(F133:F134)</f>
        <v>6.2240000000000002</v>
      </c>
      <c r="G135" s="47"/>
      <c r="H135" s="47"/>
      <c r="I135" s="47"/>
      <c r="J135" s="88">
        <f>SUM(J133:J134)</f>
        <v>1.075</v>
      </c>
      <c r="K135" s="106"/>
      <c r="L135" s="47"/>
      <c r="M135" s="101"/>
      <c r="N135" s="101"/>
    </row>
    <row r="136" spans="1:14" ht="37.5" x14ac:dyDescent="0.25">
      <c r="A136" s="426">
        <v>53</v>
      </c>
      <c r="B136" s="426" t="s">
        <v>245</v>
      </c>
      <c r="C136" s="426" t="s">
        <v>243</v>
      </c>
      <c r="D136" s="108" t="s">
        <v>244</v>
      </c>
      <c r="E136" s="427" t="s">
        <v>246</v>
      </c>
      <c r="F136" s="87">
        <v>5.4249999999999998</v>
      </c>
      <c r="G136" s="427" t="s">
        <v>247</v>
      </c>
      <c r="H136" s="101" t="s">
        <v>37</v>
      </c>
      <c r="I136" s="101">
        <v>162.72</v>
      </c>
      <c r="J136" s="87">
        <v>0.84899999999999998</v>
      </c>
      <c r="K136" s="108">
        <v>6.39</v>
      </c>
      <c r="L136" s="427">
        <v>2018</v>
      </c>
      <c r="M136" s="427" t="s">
        <v>499</v>
      </c>
      <c r="N136" s="427" t="s">
        <v>21</v>
      </c>
    </row>
    <row r="137" spans="1:14" ht="150" x14ac:dyDescent="0.25">
      <c r="A137" s="426"/>
      <c r="B137" s="426"/>
      <c r="C137" s="426"/>
      <c r="D137" s="108" t="s">
        <v>248</v>
      </c>
      <c r="E137" s="427"/>
      <c r="F137" s="87">
        <v>12.648</v>
      </c>
      <c r="G137" s="427"/>
      <c r="H137" s="101" t="s">
        <v>37</v>
      </c>
      <c r="I137" s="101">
        <v>363.54</v>
      </c>
      <c r="J137" s="87">
        <v>1.897</v>
      </c>
      <c r="K137" s="108">
        <v>6.7</v>
      </c>
      <c r="L137" s="427"/>
      <c r="M137" s="427"/>
      <c r="N137" s="427"/>
    </row>
    <row r="138" spans="1:14" ht="18.75" x14ac:dyDescent="0.25">
      <c r="A138" s="426"/>
      <c r="B138" s="426"/>
      <c r="C138" s="426"/>
      <c r="D138" s="108" t="s">
        <v>249</v>
      </c>
      <c r="E138" s="427"/>
      <c r="F138" s="87">
        <v>23.367999999999999</v>
      </c>
      <c r="G138" s="427"/>
      <c r="H138" s="101" t="s">
        <v>16</v>
      </c>
      <c r="I138" s="101">
        <v>286727.59999999998</v>
      </c>
      <c r="J138" s="87">
        <v>4.673</v>
      </c>
      <c r="K138" s="108">
        <v>5</v>
      </c>
      <c r="L138" s="427"/>
      <c r="M138" s="427"/>
      <c r="N138" s="427"/>
    </row>
    <row r="139" spans="1:14" ht="19.5" x14ac:dyDescent="0.25">
      <c r="A139" s="108"/>
      <c r="B139" s="431" t="s">
        <v>22</v>
      </c>
      <c r="C139" s="431"/>
      <c r="D139" s="106"/>
      <c r="E139" s="47"/>
      <c r="F139" s="88">
        <f>SUM(F136:F138)</f>
        <v>41.441000000000003</v>
      </c>
      <c r="G139" s="47"/>
      <c r="H139" s="47"/>
      <c r="I139" s="47"/>
      <c r="J139" s="88">
        <f>SUM(J136:J138)</f>
        <v>7.4190000000000005</v>
      </c>
      <c r="K139" s="106"/>
      <c r="L139" s="47"/>
      <c r="M139" s="101"/>
      <c r="N139" s="101"/>
    </row>
    <row r="140" spans="1:14" ht="37.5" x14ac:dyDescent="0.25">
      <c r="A140" s="108">
        <v>54</v>
      </c>
      <c r="B140" s="108" t="s">
        <v>252</v>
      </c>
      <c r="C140" s="108" t="s">
        <v>250</v>
      </c>
      <c r="D140" s="108" t="s">
        <v>251</v>
      </c>
      <c r="E140" s="101" t="s">
        <v>252</v>
      </c>
      <c r="F140" s="87">
        <v>1.3380000000000001</v>
      </c>
      <c r="G140" s="101" t="s">
        <v>104</v>
      </c>
      <c r="H140" s="101" t="s">
        <v>16</v>
      </c>
      <c r="I140" s="101">
        <v>49464</v>
      </c>
      <c r="J140" s="87">
        <v>0.83199999999999996</v>
      </c>
      <c r="K140" s="108">
        <v>1.7</v>
      </c>
      <c r="L140" s="101">
        <v>2018</v>
      </c>
      <c r="M140" s="101" t="s">
        <v>438</v>
      </c>
      <c r="N140" s="101" t="s">
        <v>21</v>
      </c>
    </row>
    <row r="141" spans="1:14" ht="19.5" x14ac:dyDescent="0.25">
      <c r="A141" s="108"/>
      <c r="B141" s="431" t="s">
        <v>22</v>
      </c>
      <c r="C141" s="431"/>
      <c r="D141" s="106"/>
      <c r="E141" s="47"/>
      <c r="F141" s="88">
        <v>1.3380000000000001</v>
      </c>
      <c r="G141" s="47"/>
      <c r="H141" s="47"/>
      <c r="I141" s="47"/>
      <c r="J141" s="88">
        <f>SUM(J140)</f>
        <v>0.83199999999999996</v>
      </c>
      <c r="K141" s="106"/>
      <c r="L141" s="47"/>
      <c r="M141" s="101"/>
      <c r="N141" s="101"/>
    </row>
    <row r="142" spans="1:14" ht="37.5" x14ac:dyDescent="0.25">
      <c r="A142" s="426">
        <v>55</v>
      </c>
      <c r="B142" s="426" t="s">
        <v>255</v>
      </c>
      <c r="C142" s="426" t="s">
        <v>253</v>
      </c>
      <c r="D142" s="108" t="s">
        <v>254</v>
      </c>
      <c r="E142" s="427" t="s">
        <v>255</v>
      </c>
      <c r="F142" s="87">
        <v>0.433</v>
      </c>
      <c r="G142" s="427" t="s">
        <v>104</v>
      </c>
      <c r="H142" s="101" t="s">
        <v>16</v>
      </c>
      <c r="I142" s="101">
        <v>26765</v>
      </c>
      <c r="J142" s="87">
        <v>0.222</v>
      </c>
      <c r="K142" s="108">
        <v>2</v>
      </c>
      <c r="L142" s="427">
        <v>2018</v>
      </c>
      <c r="M142" s="427" t="s">
        <v>438</v>
      </c>
      <c r="N142" s="427" t="s">
        <v>21</v>
      </c>
    </row>
    <row r="143" spans="1:14" ht="37.5" x14ac:dyDescent="0.25">
      <c r="A143" s="426"/>
      <c r="B143" s="426"/>
      <c r="C143" s="426"/>
      <c r="D143" s="108" t="s">
        <v>256</v>
      </c>
      <c r="E143" s="427"/>
      <c r="F143" s="87">
        <v>6.5000000000000002E-2</v>
      </c>
      <c r="G143" s="427"/>
      <c r="H143" s="101" t="s">
        <v>37</v>
      </c>
      <c r="I143" s="101">
        <v>4.4889999999999999</v>
      </c>
      <c r="J143" s="87">
        <v>3.5999999999999997E-2</v>
      </c>
      <c r="K143" s="108">
        <v>1.7</v>
      </c>
      <c r="L143" s="427"/>
      <c r="M143" s="427"/>
      <c r="N143" s="427"/>
    </row>
    <row r="144" spans="1:14" ht="56.25" x14ac:dyDescent="0.25">
      <c r="A144" s="426"/>
      <c r="B144" s="426"/>
      <c r="C144" s="426"/>
      <c r="D144" s="108" t="s">
        <v>257</v>
      </c>
      <c r="E144" s="427"/>
      <c r="F144" s="87">
        <v>0.28399999999999997</v>
      </c>
      <c r="G144" s="427"/>
      <c r="H144" s="101" t="s">
        <v>37</v>
      </c>
      <c r="I144" s="101">
        <v>22.16</v>
      </c>
      <c r="J144" s="87">
        <v>0.182</v>
      </c>
      <c r="K144" s="108">
        <v>1.6</v>
      </c>
      <c r="L144" s="427"/>
      <c r="M144" s="427"/>
      <c r="N144" s="427"/>
    </row>
    <row r="145" spans="1:14" ht="37.5" x14ac:dyDescent="0.25">
      <c r="A145" s="426"/>
      <c r="B145" s="426"/>
      <c r="C145" s="426"/>
      <c r="D145" s="108" t="s">
        <v>258</v>
      </c>
      <c r="E145" s="427"/>
      <c r="F145" s="87">
        <v>1.84</v>
      </c>
      <c r="G145" s="427"/>
      <c r="H145" s="101" t="s">
        <v>37</v>
      </c>
      <c r="I145" s="101">
        <v>20.835000000000001</v>
      </c>
      <c r="J145" s="87">
        <v>0.17100000000000001</v>
      </c>
      <c r="K145" s="108">
        <v>10.9</v>
      </c>
      <c r="L145" s="427"/>
      <c r="M145" s="427"/>
      <c r="N145" s="427"/>
    </row>
    <row r="146" spans="1:14" ht="19.5" x14ac:dyDescent="0.25">
      <c r="A146" s="108"/>
      <c r="B146" s="431" t="s">
        <v>22</v>
      </c>
      <c r="C146" s="431"/>
      <c r="D146" s="106"/>
      <c r="E146" s="47"/>
      <c r="F146" s="88">
        <f>SUM(F142:F145)</f>
        <v>2.6219999999999999</v>
      </c>
      <c r="G146" s="47"/>
      <c r="H146" s="47"/>
      <c r="I146" s="47"/>
      <c r="J146" s="88">
        <f>SUM(J142:J145)</f>
        <v>0.61099999999999999</v>
      </c>
      <c r="K146" s="106"/>
      <c r="L146" s="47"/>
      <c r="M146" s="101"/>
      <c r="N146" s="101"/>
    </row>
    <row r="147" spans="1:14" ht="112.5" x14ac:dyDescent="0.25">
      <c r="A147" s="108">
        <v>56</v>
      </c>
      <c r="B147" s="108" t="s">
        <v>261</v>
      </c>
      <c r="C147" s="108" t="s">
        <v>259</v>
      </c>
      <c r="D147" s="108" t="s">
        <v>260</v>
      </c>
      <c r="E147" s="101" t="s">
        <v>261</v>
      </c>
      <c r="F147" s="87">
        <v>16.344999999999999</v>
      </c>
      <c r="G147" s="101" t="s">
        <v>104</v>
      </c>
      <c r="H147" s="101" t="s">
        <v>16</v>
      </c>
      <c r="I147" s="101">
        <v>873422</v>
      </c>
      <c r="J147" s="87">
        <v>9.7729999999999997</v>
      </c>
      <c r="K147" s="108">
        <v>1.67</v>
      </c>
      <c r="L147" s="101">
        <v>2018</v>
      </c>
      <c r="M147" s="101" t="s">
        <v>43</v>
      </c>
      <c r="N147" s="101" t="s">
        <v>21</v>
      </c>
    </row>
    <row r="148" spans="1:14" ht="19.5" x14ac:dyDescent="0.25">
      <c r="A148" s="108"/>
      <c r="B148" s="431" t="s">
        <v>22</v>
      </c>
      <c r="C148" s="431"/>
      <c r="D148" s="106"/>
      <c r="E148" s="47"/>
      <c r="F148" s="88">
        <v>16.344999999999999</v>
      </c>
      <c r="G148" s="47"/>
      <c r="H148" s="47"/>
      <c r="I148" s="47"/>
      <c r="J148" s="88">
        <f>SUM(J147)</f>
        <v>9.7729999999999997</v>
      </c>
      <c r="K148" s="106"/>
      <c r="L148" s="47"/>
      <c r="M148" s="101"/>
      <c r="N148" s="101"/>
    </row>
    <row r="149" spans="1:14" ht="56.25" x14ac:dyDescent="0.25">
      <c r="A149" s="108">
        <v>57</v>
      </c>
      <c r="B149" s="108" t="s">
        <v>264</v>
      </c>
      <c r="C149" s="108" t="s">
        <v>262</v>
      </c>
      <c r="D149" s="108" t="s">
        <v>263</v>
      </c>
      <c r="E149" s="101" t="s">
        <v>264</v>
      </c>
      <c r="F149" s="87">
        <v>774.447</v>
      </c>
      <c r="G149" s="101" t="s">
        <v>104</v>
      </c>
      <c r="H149" s="101" t="s">
        <v>37</v>
      </c>
      <c r="I149" s="101">
        <v>9330</v>
      </c>
      <c r="J149" s="87">
        <v>53.7</v>
      </c>
      <c r="K149" s="108">
        <v>14</v>
      </c>
      <c r="L149" s="101">
        <v>2018</v>
      </c>
      <c r="M149" s="101" t="s">
        <v>471</v>
      </c>
      <c r="N149" s="101" t="s">
        <v>21</v>
      </c>
    </row>
    <row r="150" spans="1:14" ht="19.5" x14ac:dyDescent="0.25">
      <c r="A150" s="108"/>
      <c r="B150" s="431" t="s">
        <v>22</v>
      </c>
      <c r="C150" s="431"/>
      <c r="D150" s="106"/>
      <c r="E150" s="47"/>
      <c r="F150" s="88">
        <v>774.447</v>
      </c>
      <c r="G150" s="47"/>
      <c r="H150" s="47"/>
      <c r="I150" s="47"/>
      <c r="J150" s="88">
        <f>SUM(J149)</f>
        <v>53.7</v>
      </c>
      <c r="K150" s="106"/>
      <c r="L150" s="47"/>
      <c r="M150" s="101"/>
      <c r="N150" s="101"/>
    </row>
    <row r="151" spans="1:14" ht="37.5" x14ac:dyDescent="0.25">
      <c r="A151" s="108">
        <v>58</v>
      </c>
      <c r="B151" s="108" t="s">
        <v>266</v>
      </c>
      <c r="C151" s="108" t="s">
        <v>265</v>
      </c>
      <c r="D151" s="108" t="s">
        <v>238</v>
      </c>
      <c r="E151" s="101" t="s">
        <v>266</v>
      </c>
      <c r="F151" s="87">
        <v>6.3840000000000003</v>
      </c>
      <c r="G151" s="101" t="s">
        <v>104</v>
      </c>
      <c r="H151" s="101" t="s">
        <v>16</v>
      </c>
      <c r="I151" s="101">
        <v>397214</v>
      </c>
      <c r="J151" s="87">
        <v>4.468</v>
      </c>
      <c r="K151" s="108">
        <v>1.4</v>
      </c>
      <c r="L151" s="101">
        <v>2018</v>
      </c>
      <c r="M151" s="101" t="s">
        <v>466</v>
      </c>
      <c r="N151" s="101" t="s">
        <v>21</v>
      </c>
    </row>
    <row r="152" spans="1:14" ht="19.5" x14ac:dyDescent="0.25">
      <c r="A152" s="108"/>
      <c r="B152" s="431" t="s">
        <v>22</v>
      </c>
      <c r="C152" s="431"/>
      <c r="D152" s="106"/>
      <c r="E152" s="47"/>
      <c r="F152" s="88">
        <v>6.3840000000000003</v>
      </c>
      <c r="G152" s="47"/>
      <c r="H152" s="47"/>
      <c r="I152" s="47"/>
      <c r="J152" s="88">
        <f>SUM(J151)</f>
        <v>4.468</v>
      </c>
      <c r="K152" s="106"/>
      <c r="L152" s="47"/>
      <c r="M152" s="101"/>
      <c r="N152" s="101"/>
    </row>
    <row r="153" spans="1:14" ht="37.5" x14ac:dyDescent="0.25">
      <c r="A153" s="108">
        <v>59</v>
      </c>
      <c r="B153" s="108" t="s">
        <v>269</v>
      </c>
      <c r="C153" s="108" t="s">
        <v>267</v>
      </c>
      <c r="D153" s="108" t="s">
        <v>268</v>
      </c>
      <c r="E153" s="101" t="s">
        <v>269</v>
      </c>
      <c r="F153" s="87">
        <v>8.3469999999999995</v>
      </c>
      <c r="G153" s="101" t="s">
        <v>104</v>
      </c>
      <c r="H153" s="101" t="s">
        <v>16</v>
      </c>
      <c r="I153" s="101">
        <v>241875.8</v>
      </c>
      <c r="J153" s="87">
        <v>2.4689999999999999</v>
      </c>
      <c r="K153" s="108">
        <v>3.38</v>
      </c>
      <c r="L153" s="101">
        <v>2018</v>
      </c>
      <c r="M153" s="101" t="s">
        <v>471</v>
      </c>
      <c r="N153" s="101" t="s">
        <v>21</v>
      </c>
    </row>
    <row r="154" spans="1:14" ht="19.5" x14ac:dyDescent="0.25">
      <c r="A154" s="108"/>
      <c r="B154" s="431" t="s">
        <v>22</v>
      </c>
      <c r="C154" s="431"/>
      <c r="D154" s="106"/>
      <c r="E154" s="47"/>
      <c r="F154" s="88">
        <v>8.3469999999999995</v>
      </c>
      <c r="G154" s="47"/>
      <c r="H154" s="47"/>
      <c r="I154" s="47"/>
      <c r="J154" s="88">
        <f>SUM(J153)</f>
        <v>2.4689999999999999</v>
      </c>
      <c r="K154" s="106"/>
      <c r="L154" s="47"/>
      <c r="M154" s="101"/>
      <c r="N154" s="101"/>
    </row>
    <row r="155" spans="1:14" ht="37.5" x14ac:dyDescent="0.25">
      <c r="A155" s="426">
        <v>60</v>
      </c>
      <c r="B155" s="426" t="s">
        <v>272</v>
      </c>
      <c r="C155" s="426" t="s">
        <v>270</v>
      </c>
      <c r="D155" s="108" t="s">
        <v>271</v>
      </c>
      <c r="E155" s="427" t="s">
        <v>272</v>
      </c>
      <c r="F155" s="87">
        <v>0.17499999999999999</v>
      </c>
      <c r="G155" s="427" t="s">
        <v>104</v>
      </c>
      <c r="H155" s="101" t="s">
        <v>16</v>
      </c>
      <c r="I155" s="101">
        <v>48399</v>
      </c>
      <c r="J155" s="87">
        <v>0.82199999999999995</v>
      </c>
      <c r="K155" s="108">
        <v>0.2</v>
      </c>
      <c r="L155" s="427">
        <v>2018</v>
      </c>
      <c r="M155" s="427" t="s">
        <v>471</v>
      </c>
      <c r="N155" s="427" t="s">
        <v>21</v>
      </c>
    </row>
    <row r="156" spans="1:14" ht="56.25" x14ac:dyDescent="0.25">
      <c r="A156" s="426"/>
      <c r="B156" s="426"/>
      <c r="C156" s="426"/>
      <c r="D156" s="108" t="s">
        <v>273</v>
      </c>
      <c r="E156" s="427"/>
      <c r="F156" s="87">
        <v>0.37</v>
      </c>
      <c r="G156" s="427"/>
      <c r="H156" s="101" t="s">
        <v>16</v>
      </c>
      <c r="I156" s="101">
        <v>14782.5</v>
      </c>
      <c r="J156" s="87">
        <v>0.251</v>
      </c>
      <c r="K156" s="108">
        <v>0.15</v>
      </c>
      <c r="L156" s="427"/>
      <c r="M156" s="427"/>
      <c r="N156" s="427"/>
    </row>
    <row r="157" spans="1:14" ht="19.5" x14ac:dyDescent="0.25">
      <c r="A157" s="108"/>
      <c r="B157" s="431" t="s">
        <v>22</v>
      </c>
      <c r="C157" s="431"/>
      <c r="D157" s="106"/>
      <c r="E157" s="47"/>
      <c r="F157" s="88">
        <f>SUM(F155:F156)</f>
        <v>0.54499999999999993</v>
      </c>
      <c r="G157" s="47"/>
      <c r="H157" s="47"/>
      <c r="I157" s="47"/>
      <c r="J157" s="88">
        <f>SUM(J155:J156)</f>
        <v>1.073</v>
      </c>
      <c r="K157" s="106"/>
      <c r="L157" s="47"/>
      <c r="M157" s="101"/>
      <c r="N157" s="101"/>
    </row>
    <row r="158" spans="1:14" ht="37.5" x14ac:dyDescent="0.25">
      <c r="A158" s="108">
        <v>61</v>
      </c>
      <c r="B158" s="108" t="s">
        <v>276</v>
      </c>
      <c r="C158" s="108" t="s">
        <v>274</v>
      </c>
      <c r="D158" s="108" t="s">
        <v>275</v>
      </c>
      <c r="E158" s="101" t="s">
        <v>276</v>
      </c>
      <c r="F158" s="87">
        <v>109.994</v>
      </c>
      <c r="G158" s="101" t="s">
        <v>104</v>
      </c>
      <c r="H158" s="101" t="s">
        <v>16</v>
      </c>
      <c r="I158" s="101">
        <v>6342700</v>
      </c>
      <c r="J158" s="87">
        <v>52.643999999999998</v>
      </c>
      <c r="K158" s="108">
        <v>2.4</v>
      </c>
      <c r="L158" s="101">
        <v>2018</v>
      </c>
      <c r="M158" s="101" t="s">
        <v>492</v>
      </c>
      <c r="N158" s="101" t="s">
        <v>21</v>
      </c>
    </row>
    <row r="159" spans="1:14" ht="19.5" x14ac:dyDescent="0.25">
      <c r="A159" s="108"/>
      <c r="B159" s="431" t="s">
        <v>22</v>
      </c>
      <c r="C159" s="431"/>
      <c r="D159" s="106"/>
      <c r="E159" s="47"/>
      <c r="F159" s="88">
        <f>SUM(F158)</f>
        <v>109.994</v>
      </c>
      <c r="G159" s="47"/>
      <c r="H159" s="47"/>
      <c r="I159" s="47"/>
      <c r="J159" s="88">
        <f>SUM(J158)</f>
        <v>52.643999999999998</v>
      </c>
      <c r="K159" s="106"/>
      <c r="L159" s="47"/>
      <c r="M159" s="101"/>
      <c r="N159" s="101"/>
    </row>
    <row r="160" spans="1:14" ht="93.75" x14ac:dyDescent="0.25">
      <c r="A160" s="426">
        <v>62</v>
      </c>
      <c r="B160" s="426" t="s">
        <v>279</v>
      </c>
      <c r="C160" s="426" t="s">
        <v>277</v>
      </c>
      <c r="D160" s="108" t="s">
        <v>278</v>
      </c>
      <c r="E160" s="427" t="s">
        <v>280</v>
      </c>
      <c r="F160" s="87">
        <v>0.85</v>
      </c>
      <c r="G160" s="427" t="s">
        <v>281</v>
      </c>
      <c r="H160" s="101" t="s">
        <v>37</v>
      </c>
      <c r="I160" s="101">
        <v>34.630000000000003</v>
      </c>
      <c r="J160" s="87">
        <v>0.38800000000000001</v>
      </c>
      <c r="K160" s="108">
        <v>2.1800000000000002</v>
      </c>
      <c r="L160" s="427">
        <v>2018</v>
      </c>
      <c r="M160" s="427" t="s">
        <v>471</v>
      </c>
      <c r="N160" s="427" t="s">
        <v>21</v>
      </c>
    </row>
    <row r="161" spans="1:14" ht="93.75" x14ac:dyDescent="0.25">
      <c r="A161" s="426"/>
      <c r="B161" s="426"/>
      <c r="C161" s="426"/>
      <c r="D161" s="108" t="s">
        <v>282</v>
      </c>
      <c r="E161" s="427"/>
      <c r="F161" s="87">
        <v>0.39</v>
      </c>
      <c r="G161" s="427"/>
      <c r="H161" s="101" t="s">
        <v>283</v>
      </c>
      <c r="I161" s="101">
        <v>6578</v>
      </c>
      <c r="J161" s="87">
        <v>0.19</v>
      </c>
      <c r="K161" s="108">
        <v>2</v>
      </c>
      <c r="L161" s="427"/>
      <c r="M161" s="427"/>
      <c r="N161" s="427"/>
    </row>
    <row r="162" spans="1:14" ht="19.5" x14ac:dyDescent="0.25">
      <c r="A162" s="108"/>
      <c r="B162" s="431" t="s">
        <v>22</v>
      </c>
      <c r="C162" s="431"/>
      <c r="D162" s="106"/>
      <c r="E162" s="47"/>
      <c r="F162" s="88">
        <f>SUM(F160:F161)</f>
        <v>1.24</v>
      </c>
      <c r="G162" s="47"/>
      <c r="H162" s="47"/>
      <c r="I162" s="47"/>
      <c r="J162" s="88">
        <f>SUM(J160:J161)</f>
        <v>0.57800000000000007</v>
      </c>
      <c r="K162" s="106"/>
      <c r="L162" s="47"/>
      <c r="M162" s="101"/>
      <c r="N162" s="101"/>
    </row>
    <row r="163" spans="1:14" ht="37.5" x14ac:dyDescent="0.25">
      <c r="A163" s="108">
        <v>63</v>
      </c>
      <c r="B163" s="108" t="s">
        <v>286</v>
      </c>
      <c r="C163" s="108" t="s">
        <v>284</v>
      </c>
      <c r="D163" s="108" t="s">
        <v>285</v>
      </c>
      <c r="E163" s="101" t="s">
        <v>286</v>
      </c>
      <c r="F163" s="87">
        <v>1.117</v>
      </c>
      <c r="G163" s="101" t="s">
        <v>104</v>
      </c>
      <c r="H163" s="101" t="s">
        <v>16</v>
      </c>
      <c r="I163" s="101">
        <v>44852</v>
      </c>
      <c r="J163" s="87">
        <v>0.82099999999999995</v>
      </c>
      <c r="K163" s="108">
        <v>1.4</v>
      </c>
      <c r="L163" s="101">
        <v>2018</v>
      </c>
      <c r="M163" s="101" t="s">
        <v>20</v>
      </c>
      <c r="N163" s="101" t="s">
        <v>21</v>
      </c>
    </row>
    <row r="164" spans="1:14" ht="19.5" x14ac:dyDescent="0.25">
      <c r="A164" s="108"/>
      <c r="B164" s="431" t="s">
        <v>22</v>
      </c>
      <c r="C164" s="431"/>
      <c r="D164" s="106"/>
      <c r="E164" s="47"/>
      <c r="F164" s="88">
        <v>1.117</v>
      </c>
      <c r="G164" s="47"/>
      <c r="H164" s="47"/>
      <c r="I164" s="47"/>
      <c r="J164" s="88">
        <f>SUM(J163)</f>
        <v>0.82099999999999995</v>
      </c>
      <c r="K164" s="106"/>
      <c r="L164" s="47"/>
      <c r="M164" s="101"/>
      <c r="N164" s="101"/>
    </row>
    <row r="165" spans="1:14" ht="37.5" x14ac:dyDescent="0.25">
      <c r="A165" s="108">
        <v>64</v>
      </c>
      <c r="B165" s="108" t="s">
        <v>289</v>
      </c>
      <c r="C165" s="108" t="s">
        <v>287</v>
      </c>
      <c r="D165" s="108" t="s">
        <v>288</v>
      </c>
      <c r="E165" s="101" t="s">
        <v>289</v>
      </c>
      <c r="F165" s="87">
        <v>120</v>
      </c>
      <c r="G165" s="101" t="s">
        <v>104</v>
      </c>
      <c r="H165" s="101" t="s">
        <v>16</v>
      </c>
      <c r="I165" s="101">
        <v>990010</v>
      </c>
      <c r="J165" s="87">
        <v>16</v>
      </c>
      <c r="K165" s="108">
        <v>7.5</v>
      </c>
      <c r="L165" s="101">
        <v>2018</v>
      </c>
      <c r="M165" s="101" t="s">
        <v>20</v>
      </c>
      <c r="N165" s="101" t="s">
        <v>21</v>
      </c>
    </row>
    <row r="166" spans="1:14" ht="19.5" x14ac:dyDescent="0.25">
      <c r="A166" s="108"/>
      <c r="B166" s="431" t="s">
        <v>22</v>
      </c>
      <c r="C166" s="431"/>
      <c r="D166" s="106"/>
      <c r="E166" s="47"/>
      <c r="F166" s="88">
        <f>SUM(F165)</f>
        <v>120</v>
      </c>
      <c r="G166" s="47"/>
      <c r="H166" s="47"/>
      <c r="I166" s="47"/>
      <c r="J166" s="88">
        <f>SUM(J165)</f>
        <v>16</v>
      </c>
      <c r="K166" s="106"/>
      <c r="L166" s="47"/>
      <c r="M166" s="101"/>
      <c r="N166" s="101"/>
    </row>
    <row r="167" spans="1:14" ht="75" x14ac:dyDescent="0.25">
      <c r="A167" s="108">
        <v>65</v>
      </c>
      <c r="B167" s="108" t="s">
        <v>292</v>
      </c>
      <c r="C167" s="108" t="s">
        <v>290</v>
      </c>
      <c r="D167" s="108" t="s">
        <v>291</v>
      </c>
      <c r="E167" s="101" t="s">
        <v>292</v>
      </c>
      <c r="F167" s="87">
        <v>183.18100000000001</v>
      </c>
      <c r="G167" s="101" t="s">
        <v>104</v>
      </c>
      <c r="H167" s="101" t="s">
        <v>16</v>
      </c>
      <c r="I167" s="101">
        <v>1105000</v>
      </c>
      <c r="J167" s="87">
        <v>12.829000000000001</v>
      </c>
      <c r="K167" s="108">
        <v>14</v>
      </c>
      <c r="L167" s="101">
        <v>2018</v>
      </c>
      <c r="M167" s="101" t="s">
        <v>20</v>
      </c>
      <c r="N167" s="101" t="s">
        <v>21</v>
      </c>
    </row>
    <row r="168" spans="1:14" ht="19.5" x14ac:dyDescent="0.25">
      <c r="A168" s="108"/>
      <c r="B168" s="431" t="s">
        <v>22</v>
      </c>
      <c r="C168" s="431"/>
      <c r="D168" s="106"/>
      <c r="E168" s="47"/>
      <c r="F168" s="88">
        <f>SUM(F167)</f>
        <v>183.18100000000001</v>
      </c>
      <c r="G168" s="47"/>
      <c r="H168" s="47"/>
      <c r="I168" s="47"/>
      <c r="J168" s="88">
        <f>SUM(J167)</f>
        <v>12.829000000000001</v>
      </c>
      <c r="K168" s="106"/>
      <c r="L168" s="47"/>
      <c r="M168" s="101"/>
      <c r="N168" s="101"/>
    </row>
    <row r="169" spans="1:14" ht="56.25" x14ac:dyDescent="0.25">
      <c r="A169" s="108">
        <v>66</v>
      </c>
      <c r="B169" s="108" t="s">
        <v>295</v>
      </c>
      <c r="C169" s="108" t="s">
        <v>293</v>
      </c>
      <c r="D169" s="108" t="s">
        <v>294</v>
      </c>
      <c r="E169" s="101" t="s">
        <v>296</v>
      </c>
      <c r="F169" s="87">
        <v>1.4</v>
      </c>
      <c r="G169" s="101" t="s">
        <v>297</v>
      </c>
      <c r="H169" s="101" t="s">
        <v>16</v>
      </c>
      <c r="I169" s="101">
        <v>19050</v>
      </c>
      <c r="J169" s="87">
        <v>0.38100000000000001</v>
      </c>
      <c r="K169" s="108">
        <v>4</v>
      </c>
      <c r="L169" s="101">
        <v>2018</v>
      </c>
      <c r="M169" s="101" t="s">
        <v>27</v>
      </c>
      <c r="N169" s="101" t="s">
        <v>21</v>
      </c>
    </row>
    <row r="170" spans="1:14" ht="19.5" x14ac:dyDescent="0.25">
      <c r="A170" s="108"/>
      <c r="B170" s="431" t="s">
        <v>22</v>
      </c>
      <c r="C170" s="431"/>
      <c r="D170" s="106"/>
      <c r="E170" s="47"/>
      <c r="F170" s="88">
        <v>1.4</v>
      </c>
      <c r="G170" s="47"/>
      <c r="H170" s="47"/>
      <c r="I170" s="47"/>
      <c r="J170" s="88">
        <v>0.38100000000000001</v>
      </c>
      <c r="K170" s="106"/>
      <c r="L170" s="47"/>
      <c r="M170" s="101"/>
      <c r="N170" s="101"/>
    </row>
    <row r="171" spans="1:14" ht="75" x14ac:dyDescent="0.25">
      <c r="A171" s="108">
        <v>67</v>
      </c>
      <c r="B171" s="108" t="s">
        <v>300</v>
      </c>
      <c r="C171" s="108" t="s">
        <v>298</v>
      </c>
      <c r="D171" s="108" t="s">
        <v>299</v>
      </c>
      <c r="E171" s="101" t="s">
        <v>301</v>
      </c>
      <c r="F171" s="87">
        <v>30.515000000000001</v>
      </c>
      <c r="G171" s="101" t="s">
        <v>302</v>
      </c>
      <c r="H171" s="101" t="s">
        <v>283</v>
      </c>
      <c r="I171" s="101">
        <v>291282</v>
      </c>
      <c r="J171" s="87">
        <v>9.8000000000000007</v>
      </c>
      <c r="K171" s="108">
        <v>3.1</v>
      </c>
      <c r="L171" s="101">
        <v>2018</v>
      </c>
      <c r="M171" s="101" t="s">
        <v>466</v>
      </c>
      <c r="N171" s="101" t="s">
        <v>21</v>
      </c>
    </row>
    <row r="172" spans="1:14" ht="19.5" x14ac:dyDescent="0.25">
      <c r="A172" s="108"/>
      <c r="B172" s="431" t="s">
        <v>22</v>
      </c>
      <c r="C172" s="431"/>
      <c r="D172" s="106"/>
      <c r="E172" s="47"/>
      <c r="F172" s="88">
        <v>30.515000000000001</v>
      </c>
      <c r="G172" s="47"/>
      <c r="H172" s="47"/>
      <c r="I172" s="47"/>
      <c r="J172" s="88">
        <v>9.8000000000000007</v>
      </c>
      <c r="K172" s="106"/>
      <c r="L172" s="47"/>
      <c r="M172" s="101"/>
      <c r="N172" s="101"/>
    </row>
    <row r="173" spans="1:14" ht="37.5" x14ac:dyDescent="0.25">
      <c r="A173" s="426">
        <v>68</v>
      </c>
      <c r="B173" s="426" t="s">
        <v>304</v>
      </c>
      <c r="C173" s="426" t="s">
        <v>303</v>
      </c>
      <c r="D173" s="108" t="s">
        <v>294</v>
      </c>
      <c r="E173" s="427" t="s">
        <v>304</v>
      </c>
      <c r="F173" s="87">
        <v>3.2</v>
      </c>
      <c r="G173" s="427" t="s">
        <v>104</v>
      </c>
      <c r="H173" s="101" t="s">
        <v>16</v>
      </c>
      <c r="I173" s="101">
        <v>415464.2</v>
      </c>
      <c r="J173" s="87">
        <v>5.37</v>
      </c>
      <c r="K173" s="108">
        <v>0.6</v>
      </c>
      <c r="L173" s="427">
        <v>2018</v>
      </c>
      <c r="M173" s="427" t="s">
        <v>43</v>
      </c>
      <c r="N173" s="427" t="s">
        <v>21</v>
      </c>
    </row>
    <row r="174" spans="1:14" ht="56.25" x14ac:dyDescent="0.25">
      <c r="A174" s="426"/>
      <c r="B174" s="426"/>
      <c r="C174" s="426"/>
      <c r="D174" s="108" t="s">
        <v>305</v>
      </c>
      <c r="E174" s="427"/>
      <c r="F174" s="87">
        <v>3.48</v>
      </c>
      <c r="G174" s="427"/>
      <c r="H174" s="101" t="s">
        <v>16</v>
      </c>
      <c r="I174" s="101">
        <v>32400</v>
      </c>
      <c r="J174" s="87">
        <v>0.42</v>
      </c>
      <c r="K174" s="108">
        <v>8.3000000000000007</v>
      </c>
      <c r="L174" s="427"/>
      <c r="M174" s="427"/>
      <c r="N174" s="427"/>
    </row>
    <row r="175" spans="1:14" ht="37.5" x14ac:dyDescent="0.25">
      <c r="A175" s="426"/>
      <c r="B175" s="426"/>
      <c r="C175" s="426"/>
      <c r="D175" s="108" t="s">
        <v>306</v>
      </c>
      <c r="E175" s="427"/>
      <c r="F175" s="87">
        <v>7.32</v>
      </c>
      <c r="G175" s="427"/>
      <c r="H175" s="101" t="s">
        <v>16</v>
      </c>
      <c r="I175" s="101">
        <v>75600</v>
      </c>
      <c r="J175" s="87">
        <v>0.97</v>
      </c>
      <c r="K175" s="108">
        <v>7.5</v>
      </c>
      <c r="L175" s="427"/>
      <c r="M175" s="427"/>
      <c r="N175" s="427"/>
    </row>
    <row r="176" spans="1:14" ht="19.5" x14ac:dyDescent="0.25">
      <c r="A176" s="108"/>
      <c r="B176" s="431" t="s">
        <v>22</v>
      </c>
      <c r="C176" s="431"/>
      <c r="D176" s="106"/>
      <c r="E176" s="47"/>
      <c r="F176" s="88">
        <f>SUM(F173:F175)</f>
        <v>14</v>
      </c>
      <c r="G176" s="47"/>
      <c r="H176" s="47"/>
      <c r="I176" s="47"/>
      <c r="J176" s="88">
        <f>SUM(J173:J175)</f>
        <v>6.76</v>
      </c>
      <c r="K176" s="106"/>
      <c r="L176" s="47"/>
      <c r="M176" s="101"/>
      <c r="N176" s="101"/>
    </row>
    <row r="177" spans="1:14" ht="18.75" x14ac:dyDescent="0.25">
      <c r="A177" s="109"/>
      <c r="B177" s="109" t="s">
        <v>307</v>
      </c>
      <c r="C177" s="608"/>
      <c r="D177" s="608"/>
      <c r="E177" s="51"/>
      <c r="F177" s="52">
        <f>F86+F89+F94+F96+F101+F106+F116+F120+F122+F124+F126+F130+F132+F135+F139+F141+F146+F148+F150+F152+F154+F157+F159+F162+F164+F166+F168+F170+F172+F176</f>
        <v>7155.5992999999989</v>
      </c>
      <c r="G177" s="51"/>
      <c r="H177" s="51"/>
      <c r="I177" s="51"/>
      <c r="J177" s="52">
        <f>J86+J89+J94+J96+J101+J106+J116+J120+J122+J124+J126+J130+J132+J135+J139+J141+J146+J148+J150+J152+J154+J157+J159+J162+J164+J166+J168+J170+J172+J176</f>
        <v>2569.3701199999991</v>
      </c>
      <c r="K177" s="109"/>
      <c r="L177" s="51"/>
      <c r="M177" s="51"/>
      <c r="N177" s="51"/>
    </row>
    <row r="178" spans="1:14" ht="93.75" x14ac:dyDescent="0.25">
      <c r="A178" s="108">
        <v>69</v>
      </c>
      <c r="B178" s="108" t="s">
        <v>310</v>
      </c>
      <c r="C178" s="108" t="s">
        <v>308</v>
      </c>
      <c r="D178" s="108" t="s">
        <v>309</v>
      </c>
      <c r="E178" s="101" t="s">
        <v>89</v>
      </c>
      <c r="F178" s="87">
        <v>1784.866925</v>
      </c>
      <c r="G178" s="101" t="s">
        <v>311</v>
      </c>
      <c r="H178" s="101" t="s">
        <v>16</v>
      </c>
      <c r="I178" s="90">
        <v>915975</v>
      </c>
      <c r="J178" s="87">
        <v>16.45091</v>
      </c>
      <c r="K178" s="54">
        <v>5</v>
      </c>
      <c r="L178" s="101">
        <v>2019</v>
      </c>
      <c r="M178" s="101" t="s">
        <v>1064</v>
      </c>
      <c r="N178" s="101" t="s">
        <v>21</v>
      </c>
    </row>
    <row r="179" spans="1:14" ht="19.5" x14ac:dyDescent="0.25">
      <c r="A179" s="108"/>
      <c r="B179" s="431" t="s">
        <v>22</v>
      </c>
      <c r="C179" s="431"/>
      <c r="D179" s="106"/>
      <c r="E179" s="47"/>
      <c r="F179" s="88">
        <f>F178</f>
        <v>1784.866925</v>
      </c>
      <c r="G179" s="47"/>
      <c r="H179" s="47"/>
      <c r="I179" s="56"/>
      <c r="J179" s="88">
        <v>16.45091</v>
      </c>
      <c r="K179" s="57"/>
      <c r="L179" s="47"/>
      <c r="M179" s="101"/>
      <c r="N179" s="101"/>
    </row>
    <row r="180" spans="1:14" ht="93.75" x14ac:dyDescent="0.25">
      <c r="A180" s="108">
        <v>70</v>
      </c>
      <c r="B180" s="108" t="s">
        <v>310</v>
      </c>
      <c r="C180" s="108" t="s">
        <v>308</v>
      </c>
      <c r="D180" s="108" t="s">
        <v>313</v>
      </c>
      <c r="E180" s="101" t="s">
        <v>89</v>
      </c>
      <c r="F180" s="87">
        <v>8779.8707410000006</v>
      </c>
      <c r="G180" s="101" t="s">
        <v>311</v>
      </c>
      <c r="H180" s="101" t="s">
        <v>16</v>
      </c>
      <c r="I180" s="90">
        <v>3717000</v>
      </c>
      <c r="J180" s="87">
        <v>66.757320000000007</v>
      </c>
      <c r="K180" s="54">
        <v>5</v>
      </c>
      <c r="L180" s="101">
        <v>2019</v>
      </c>
      <c r="M180" s="101" t="s">
        <v>1064</v>
      </c>
      <c r="N180" s="101" t="s">
        <v>21</v>
      </c>
    </row>
    <row r="181" spans="1:14" ht="19.5" x14ac:dyDescent="0.25">
      <c r="A181" s="108"/>
      <c r="B181" s="431" t="s">
        <v>22</v>
      </c>
      <c r="C181" s="431"/>
      <c r="D181" s="106"/>
      <c r="E181" s="47"/>
      <c r="F181" s="88">
        <f>F180</f>
        <v>8779.8707410000006</v>
      </c>
      <c r="G181" s="47"/>
      <c r="H181" s="47"/>
      <c r="I181" s="56"/>
      <c r="J181" s="88">
        <v>66.757320000000007</v>
      </c>
      <c r="K181" s="57"/>
      <c r="L181" s="47"/>
      <c r="M181" s="101"/>
      <c r="N181" s="101"/>
    </row>
    <row r="182" spans="1:14" ht="37.5" x14ac:dyDescent="0.25">
      <c r="A182" s="108">
        <v>73</v>
      </c>
      <c r="B182" s="108" t="s">
        <v>1052</v>
      </c>
      <c r="C182" s="108" t="s">
        <v>322</v>
      </c>
      <c r="D182" s="108" t="s">
        <v>323</v>
      </c>
      <c r="E182" s="101" t="s">
        <v>94</v>
      </c>
      <c r="F182" s="87">
        <v>207.80699999999999</v>
      </c>
      <c r="G182" s="101" t="s">
        <v>95</v>
      </c>
      <c r="H182" s="101" t="s">
        <v>16</v>
      </c>
      <c r="I182" s="90">
        <v>7700000</v>
      </c>
      <c r="J182" s="87">
        <v>107</v>
      </c>
      <c r="K182" s="54">
        <v>2</v>
      </c>
      <c r="L182" s="101">
        <v>2019</v>
      </c>
      <c r="M182" s="101" t="s">
        <v>471</v>
      </c>
      <c r="N182" s="101" t="s">
        <v>21</v>
      </c>
    </row>
    <row r="183" spans="1:14" ht="19.5" x14ac:dyDescent="0.25">
      <c r="A183" s="108"/>
      <c r="B183" s="431" t="s">
        <v>22</v>
      </c>
      <c r="C183" s="431"/>
      <c r="D183" s="58"/>
      <c r="E183" s="47"/>
      <c r="F183" s="88">
        <v>207.80699999999999</v>
      </c>
      <c r="G183" s="47"/>
      <c r="H183" s="47"/>
      <c r="I183" s="47"/>
      <c r="J183" s="88">
        <v>107</v>
      </c>
      <c r="K183" s="106"/>
      <c r="L183" s="47"/>
      <c r="M183" s="101"/>
      <c r="N183" s="101"/>
    </row>
    <row r="184" spans="1:14" ht="93.75" x14ac:dyDescent="0.25">
      <c r="A184" s="59">
        <v>74</v>
      </c>
      <c r="B184" s="59" t="s">
        <v>1053</v>
      </c>
      <c r="C184" s="59" t="s">
        <v>324</v>
      </c>
      <c r="D184" s="59" t="s">
        <v>325</v>
      </c>
      <c r="E184" s="60" t="s">
        <v>94</v>
      </c>
      <c r="F184" s="61">
        <v>900.10935199999994</v>
      </c>
      <c r="G184" s="60" t="s">
        <v>95</v>
      </c>
      <c r="H184" s="60" t="s">
        <v>16</v>
      </c>
      <c r="I184" s="62">
        <v>30938012</v>
      </c>
      <c r="J184" s="61">
        <v>275.34830399999998</v>
      </c>
      <c r="K184" s="63">
        <v>3.3</v>
      </c>
      <c r="L184" s="60">
        <v>2019</v>
      </c>
      <c r="M184" s="101" t="s">
        <v>471</v>
      </c>
      <c r="N184" s="101" t="s">
        <v>21</v>
      </c>
    </row>
    <row r="185" spans="1:14" ht="19.5" x14ac:dyDescent="0.25">
      <c r="A185" s="59"/>
      <c r="B185" s="431" t="s">
        <v>22</v>
      </c>
      <c r="C185" s="431"/>
      <c r="D185" s="64"/>
      <c r="E185" s="65"/>
      <c r="F185" s="97">
        <v>900.10935199999994</v>
      </c>
      <c r="G185" s="65"/>
      <c r="H185" s="65"/>
      <c r="I185" s="65"/>
      <c r="J185" s="97">
        <v>275.34830399999998</v>
      </c>
      <c r="K185" s="66"/>
      <c r="L185" s="65"/>
      <c r="M185" s="101"/>
      <c r="N185" s="101"/>
    </row>
    <row r="186" spans="1:14" ht="168.75" x14ac:dyDescent="0.25">
      <c r="A186" s="108">
        <v>76</v>
      </c>
      <c r="B186" s="108" t="s">
        <v>331</v>
      </c>
      <c r="C186" s="110" t="s">
        <v>329</v>
      </c>
      <c r="D186" s="110" t="s">
        <v>330</v>
      </c>
      <c r="E186" s="101" t="s">
        <v>332</v>
      </c>
      <c r="F186" s="67">
        <v>1162.3409999999999</v>
      </c>
      <c r="G186" s="101" t="s">
        <v>333</v>
      </c>
      <c r="H186" s="101" t="s">
        <v>16</v>
      </c>
      <c r="I186" s="107">
        <v>87696</v>
      </c>
      <c r="J186" s="67">
        <v>20.024505000000001</v>
      </c>
      <c r="K186" s="68">
        <v>11</v>
      </c>
      <c r="L186" s="101">
        <v>2019</v>
      </c>
      <c r="M186" s="101" t="s">
        <v>442</v>
      </c>
      <c r="N186" s="101" t="s">
        <v>501</v>
      </c>
    </row>
    <row r="187" spans="1:14" ht="19.5" x14ac:dyDescent="0.25">
      <c r="A187" s="108"/>
      <c r="B187" s="431" t="s">
        <v>22</v>
      </c>
      <c r="C187" s="431"/>
      <c r="D187" s="58"/>
      <c r="E187" s="47"/>
      <c r="F187" s="88">
        <v>1162.3409999999999</v>
      </c>
      <c r="G187" s="47"/>
      <c r="H187" s="47"/>
      <c r="I187" s="47"/>
      <c r="J187" s="88">
        <v>20.024999999999999</v>
      </c>
      <c r="K187" s="106"/>
      <c r="L187" s="47"/>
      <c r="M187" s="101"/>
      <c r="N187" s="101"/>
    </row>
    <row r="188" spans="1:14" ht="168.75" x14ac:dyDescent="0.25">
      <c r="A188" s="108">
        <v>77</v>
      </c>
      <c r="B188" s="108" t="s">
        <v>331</v>
      </c>
      <c r="C188" s="110" t="s">
        <v>334</v>
      </c>
      <c r="D188" s="110" t="s">
        <v>330</v>
      </c>
      <c r="E188" s="101" t="s">
        <v>332</v>
      </c>
      <c r="F188" s="67">
        <v>522.62800000000004</v>
      </c>
      <c r="G188" s="101" t="s">
        <v>333</v>
      </c>
      <c r="H188" s="101" t="s">
        <v>16</v>
      </c>
      <c r="I188" s="107" t="s">
        <v>335</v>
      </c>
      <c r="J188" s="67">
        <v>31.058350000000001</v>
      </c>
      <c r="K188" s="68">
        <v>10</v>
      </c>
      <c r="L188" s="101">
        <v>2019</v>
      </c>
      <c r="M188" s="101" t="s">
        <v>442</v>
      </c>
      <c r="N188" s="101" t="s">
        <v>501</v>
      </c>
    </row>
    <row r="189" spans="1:14" ht="19.5" x14ac:dyDescent="0.25">
      <c r="A189" s="108"/>
      <c r="B189" s="431" t="s">
        <v>22</v>
      </c>
      <c r="C189" s="431"/>
      <c r="D189" s="58"/>
      <c r="E189" s="47"/>
      <c r="F189" s="88">
        <v>522.62800000000004</v>
      </c>
      <c r="G189" s="47"/>
      <c r="H189" s="47"/>
      <c r="I189" s="47"/>
      <c r="J189" s="88">
        <v>31.058</v>
      </c>
      <c r="K189" s="106"/>
      <c r="L189" s="47"/>
      <c r="M189" s="101"/>
      <c r="N189" s="101"/>
    </row>
    <row r="190" spans="1:14" ht="150" x14ac:dyDescent="0.25">
      <c r="A190" s="108">
        <v>78</v>
      </c>
      <c r="B190" s="108" t="s">
        <v>331</v>
      </c>
      <c r="C190" s="110" t="s">
        <v>336</v>
      </c>
      <c r="D190" s="110" t="s">
        <v>337</v>
      </c>
      <c r="E190" s="101" t="s">
        <v>332</v>
      </c>
      <c r="F190" s="67">
        <v>795.95</v>
      </c>
      <c r="G190" s="101" t="s">
        <v>333</v>
      </c>
      <c r="H190" s="101" t="s">
        <v>16</v>
      </c>
      <c r="I190" s="107">
        <v>333337</v>
      </c>
      <c r="J190" s="67">
        <v>76.114170999999999</v>
      </c>
      <c r="K190" s="68">
        <v>10</v>
      </c>
      <c r="L190" s="101">
        <v>2019</v>
      </c>
      <c r="M190" s="101" t="s">
        <v>442</v>
      </c>
      <c r="N190" s="101" t="s">
        <v>501</v>
      </c>
    </row>
    <row r="191" spans="1:14" ht="19.5" x14ac:dyDescent="0.25">
      <c r="A191" s="108"/>
      <c r="B191" s="431" t="s">
        <v>22</v>
      </c>
      <c r="C191" s="431"/>
      <c r="D191" s="58"/>
      <c r="E191" s="47"/>
      <c r="F191" s="88">
        <v>795.95</v>
      </c>
      <c r="G191" s="47"/>
      <c r="H191" s="47"/>
      <c r="I191" s="47"/>
      <c r="J191" s="88">
        <v>76.114000000000004</v>
      </c>
      <c r="K191" s="106"/>
      <c r="L191" s="47"/>
      <c r="M191" s="101"/>
      <c r="N191" s="101"/>
    </row>
    <row r="192" spans="1:14" ht="150" x14ac:dyDescent="0.25">
      <c r="A192" s="108">
        <v>79</v>
      </c>
      <c r="B192" s="108" t="s">
        <v>331</v>
      </c>
      <c r="C192" s="110" t="s">
        <v>338</v>
      </c>
      <c r="D192" s="110" t="s">
        <v>339</v>
      </c>
      <c r="E192" s="101" t="s">
        <v>332</v>
      </c>
      <c r="F192" s="67">
        <v>600.70000000000005</v>
      </c>
      <c r="G192" s="101" t="s">
        <v>333</v>
      </c>
      <c r="H192" s="101" t="s">
        <v>16</v>
      </c>
      <c r="I192" s="107">
        <v>170407</v>
      </c>
      <c r="J192" s="67">
        <v>38.910733999999998</v>
      </c>
      <c r="K192" s="68">
        <v>10</v>
      </c>
      <c r="L192" s="101">
        <v>2019</v>
      </c>
      <c r="M192" s="101" t="s">
        <v>442</v>
      </c>
      <c r="N192" s="101" t="s">
        <v>501</v>
      </c>
    </row>
    <row r="193" spans="1:14" ht="19.5" x14ac:dyDescent="0.25">
      <c r="A193" s="108"/>
      <c r="B193" s="431" t="s">
        <v>22</v>
      </c>
      <c r="C193" s="431"/>
      <c r="D193" s="58"/>
      <c r="E193" s="47"/>
      <c r="F193" s="88">
        <v>600.70000000000005</v>
      </c>
      <c r="G193" s="47"/>
      <c r="H193" s="47"/>
      <c r="I193" s="47"/>
      <c r="J193" s="88">
        <v>38.911000000000001</v>
      </c>
      <c r="K193" s="106"/>
      <c r="L193" s="47"/>
      <c r="M193" s="101"/>
      <c r="N193" s="101"/>
    </row>
    <row r="194" spans="1:14" ht="168.75" x14ac:dyDescent="0.25">
      <c r="A194" s="108">
        <v>80</v>
      </c>
      <c r="B194" s="108" t="s">
        <v>331</v>
      </c>
      <c r="C194" s="110" t="s">
        <v>340</v>
      </c>
      <c r="D194" s="110" t="s">
        <v>341</v>
      </c>
      <c r="E194" s="101" t="s">
        <v>332</v>
      </c>
      <c r="F194" s="67">
        <v>5426.3</v>
      </c>
      <c r="G194" s="101" t="s">
        <v>333</v>
      </c>
      <c r="H194" s="101" t="s">
        <v>16</v>
      </c>
      <c r="I194" s="107">
        <v>87696</v>
      </c>
      <c r="J194" s="67">
        <v>26.863264999999998</v>
      </c>
      <c r="K194" s="68">
        <v>11</v>
      </c>
      <c r="L194" s="101">
        <v>2019</v>
      </c>
      <c r="M194" s="101" t="s">
        <v>442</v>
      </c>
      <c r="N194" s="101" t="s">
        <v>312</v>
      </c>
    </row>
    <row r="195" spans="1:14" ht="19.5" x14ac:dyDescent="0.25">
      <c r="A195" s="108"/>
      <c r="B195" s="431" t="s">
        <v>22</v>
      </c>
      <c r="C195" s="431"/>
      <c r="D195" s="58"/>
      <c r="E195" s="47"/>
      <c r="F195" s="88">
        <v>5426.3</v>
      </c>
      <c r="G195" s="47"/>
      <c r="H195" s="47"/>
      <c r="I195" s="47"/>
      <c r="J195" s="88">
        <v>26.863</v>
      </c>
      <c r="K195" s="106"/>
      <c r="L195" s="47"/>
      <c r="M195" s="101"/>
      <c r="N195" s="101"/>
    </row>
    <row r="196" spans="1:14" ht="56.25" x14ac:dyDescent="0.25">
      <c r="A196" s="108">
        <v>81</v>
      </c>
      <c r="B196" s="108" t="s">
        <v>344</v>
      </c>
      <c r="C196" s="110" t="s">
        <v>342</v>
      </c>
      <c r="D196" s="110" t="s">
        <v>343</v>
      </c>
      <c r="E196" s="101" t="s">
        <v>345</v>
      </c>
      <c r="F196" s="67">
        <v>78.099999999999994</v>
      </c>
      <c r="G196" s="101" t="s">
        <v>346</v>
      </c>
      <c r="H196" s="101" t="s">
        <v>16</v>
      </c>
      <c r="I196" s="69">
        <v>383250</v>
      </c>
      <c r="J196" s="67">
        <v>9.2593200000000007</v>
      </c>
      <c r="K196" s="54">
        <v>8</v>
      </c>
      <c r="L196" s="101">
        <v>2019</v>
      </c>
      <c r="M196" s="101" t="s">
        <v>471</v>
      </c>
      <c r="N196" s="101" t="s">
        <v>21</v>
      </c>
    </row>
    <row r="197" spans="1:14" ht="19.5" x14ac:dyDescent="0.25">
      <c r="A197" s="108"/>
      <c r="B197" s="431" t="s">
        <v>22</v>
      </c>
      <c r="C197" s="431"/>
      <c r="D197" s="106"/>
      <c r="E197" s="47"/>
      <c r="F197" s="88">
        <v>78.099999999999994</v>
      </c>
      <c r="G197" s="47"/>
      <c r="H197" s="47"/>
      <c r="I197" s="47"/>
      <c r="J197" s="88">
        <v>9.2590000000000003</v>
      </c>
      <c r="K197" s="106"/>
      <c r="L197" s="47"/>
      <c r="M197" s="101"/>
      <c r="N197" s="101"/>
    </row>
    <row r="198" spans="1:14" ht="206.25" x14ac:dyDescent="0.25">
      <c r="A198" s="108">
        <v>82</v>
      </c>
      <c r="B198" s="108" t="s">
        <v>317</v>
      </c>
      <c r="C198" s="110" t="s">
        <v>347</v>
      </c>
      <c r="D198" s="110" t="s">
        <v>348</v>
      </c>
      <c r="E198" s="101" t="s">
        <v>318</v>
      </c>
      <c r="F198" s="67">
        <v>37.148000000000003</v>
      </c>
      <c r="G198" s="101" t="s">
        <v>319</v>
      </c>
      <c r="H198" s="107" t="s">
        <v>349</v>
      </c>
      <c r="I198" s="69">
        <v>236072</v>
      </c>
      <c r="J198" s="67">
        <v>5</v>
      </c>
      <c r="K198" s="68">
        <v>3</v>
      </c>
      <c r="L198" s="101">
        <v>2019</v>
      </c>
      <c r="M198" s="101" t="s">
        <v>466</v>
      </c>
      <c r="N198" s="101" t="s">
        <v>21</v>
      </c>
    </row>
    <row r="199" spans="1:14" ht="19.5" x14ac:dyDescent="0.25">
      <c r="A199" s="108"/>
      <c r="B199" s="431" t="s">
        <v>22</v>
      </c>
      <c r="C199" s="431"/>
      <c r="D199" s="106"/>
      <c r="E199" s="47"/>
      <c r="F199" s="88">
        <v>37.148000000000003</v>
      </c>
      <c r="G199" s="47"/>
      <c r="H199" s="47"/>
      <c r="I199" s="47"/>
      <c r="J199" s="88">
        <v>5</v>
      </c>
      <c r="K199" s="106"/>
      <c r="L199" s="47"/>
      <c r="M199" s="101"/>
      <c r="N199" s="101"/>
    </row>
    <row r="200" spans="1:14" ht="131.25" x14ac:dyDescent="0.25">
      <c r="A200" s="108">
        <v>83</v>
      </c>
      <c r="B200" s="108" t="s">
        <v>317</v>
      </c>
      <c r="C200" s="110" t="s">
        <v>350</v>
      </c>
      <c r="D200" s="110" t="s">
        <v>351</v>
      </c>
      <c r="E200" s="101" t="s">
        <v>318</v>
      </c>
      <c r="F200" s="67">
        <v>30.414000000000001</v>
      </c>
      <c r="G200" s="101" t="s">
        <v>319</v>
      </c>
      <c r="H200" s="107" t="s">
        <v>349</v>
      </c>
      <c r="I200" s="107">
        <v>1085930</v>
      </c>
      <c r="J200" s="67">
        <v>23</v>
      </c>
      <c r="K200" s="68">
        <v>3</v>
      </c>
      <c r="L200" s="101">
        <v>2019</v>
      </c>
      <c r="M200" s="101" t="s">
        <v>466</v>
      </c>
      <c r="N200" s="101" t="s">
        <v>21</v>
      </c>
    </row>
    <row r="201" spans="1:14" ht="19.5" x14ac:dyDescent="0.25">
      <c r="A201" s="108"/>
      <c r="B201" s="431" t="s">
        <v>22</v>
      </c>
      <c r="C201" s="431"/>
      <c r="D201" s="106"/>
      <c r="E201" s="47"/>
      <c r="F201" s="88">
        <v>30.414000000000001</v>
      </c>
      <c r="G201" s="47"/>
      <c r="H201" s="47"/>
      <c r="I201" s="47"/>
      <c r="J201" s="88">
        <v>23</v>
      </c>
      <c r="K201" s="106"/>
      <c r="L201" s="47"/>
      <c r="M201" s="101"/>
      <c r="N201" s="101"/>
    </row>
    <row r="202" spans="1:14" ht="56.25" x14ac:dyDescent="0.25">
      <c r="A202" s="108">
        <v>84</v>
      </c>
      <c r="B202" s="108" t="s">
        <v>353</v>
      </c>
      <c r="C202" s="110" t="s">
        <v>352</v>
      </c>
      <c r="D202" s="110" t="s">
        <v>323</v>
      </c>
      <c r="E202" s="101" t="s">
        <v>353</v>
      </c>
      <c r="F202" s="67">
        <v>15.285</v>
      </c>
      <c r="G202" s="101" t="s">
        <v>354</v>
      </c>
      <c r="H202" s="107" t="s">
        <v>16</v>
      </c>
      <c r="I202" s="107">
        <v>125300</v>
      </c>
      <c r="J202" s="67">
        <v>2.2010000000000001</v>
      </c>
      <c r="K202" s="68">
        <v>6.9</v>
      </c>
      <c r="L202" s="101">
        <v>2019</v>
      </c>
      <c r="M202" s="101" t="s">
        <v>1148</v>
      </c>
      <c r="N202" s="101" t="s">
        <v>21</v>
      </c>
    </row>
    <row r="203" spans="1:14" ht="19.5" x14ac:dyDescent="0.25">
      <c r="A203" s="108"/>
      <c r="B203" s="431" t="s">
        <v>22</v>
      </c>
      <c r="C203" s="431"/>
      <c r="D203" s="106"/>
      <c r="E203" s="47"/>
      <c r="F203" s="88">
        <v>15.285</v>
      </c>
      <c r="G203" s="47"/>
      <c r="H203" s="47"/>
      <c r="I203" s="47"/>
      <c r="J203" s="88">
        <v>2.2010000000000001</v>
      </c>
      <c r="K203" s="106"/>
      <c r="L203" s="47"/>
      <c r="M203" s="101"/>
      <c r="N203" s="101"/>
    </row>
    <row r="204" spans="1:14" ht="93.75" x14ac:dyDescent="0.25">
      <c r="A204" s="108">
        <v>85</v>
      </c>
      <c r="B204" s="108" t="s">
        <v>310</v>
      </c>
      <c r="C204" s="110" t="s">
        <v>355</v>
      </c>
      <c r="D204" s="110" t="s">
        <v>356</v>
      </c>
      <c r="E204" s="101" t="s">
        <v>89</v>
      </c>
      <c r="F204" s="67">
        <v>2383.5145600000001</v>
      </c>
      <c r="G204" s="101" t="s">
        <v>311</v>
      </c>
      <c r="H204" s="107" t="s">
        <v>16</v>
      </c>
      <c r="I204" s="107">
        <v>1850200</v>
      </c>
      <c r="J204" s="67">
        <v>33.229591999999997</v>
      </c>
      <c r="K204" s="68">
        <v>6.9</v>
      </c>
      <c r="L204" s="101">
        <v>2019</v>
      </c>
      <c r="M204" s="101" t="s">
        <v>1064</v>
      </c>
      <c r="N204" s="101" t="s">
        <v>21</v>
      </c>
    </row>
    <row r="205" spans="1:14" ht="19.5" x14ac:dyDescent="0.25">
      <c r="A205" s="108"/>
      <c r="B205" s="431" t="s">
        <v>22</v>
      </c>
      <c r="C205" s="431"/>
      <c r="D205" s="106"/>
      <c r="E205" s="47"/>
      <c r="F205" s="88">
        <v>2383.5145600000001</v>
      </c>
      <c r="G205" s="47"/>
      <c r="H205" s="47"/>
      <c r="I205" s="47"/>
      <c r="J205" s="88">
        <v>33.229591999999997</v>
      </c>
      <c r="K205" s="106"/>
      <c r="L205" s="47"/>
      <c r="M205" s="101"/>
      <c r="N205" s="101"/>
    </row>
    <row r="206" spans="1:14" ht="93.75" x14ac:dyDescent="0.25">
      <c r="A206" s="108">
        <v>87</v>
      </c>
      <c r="B206" s="108" t="s">
        <v>363</v>
      </c>
      <c r="C206" s="110" t="s">
        <v>361</v>
      </c>
      <c r="D206" s="110" t="s">
        <v>362</v>
      </c>
      <c r="E206" s="101" t="s">
        <v>364</v>
      </c>
      <c r="F206" s="67">
        <v>12576</v>
      </c>
      <c r="G206" s="101" t="s">
        <v>365</v>
      </c>
      <c r="H206" s="70" t="s">
        <v>16</v>
      </c>
      <c r="I206" s="71">
        <v>0.15</v>
      </c>
      <c r="J206" s="72">
        <v>0</v>
      </c>
      <c r="K206" s="68"/>
      <c r="L206" s="101">
        <v>2019</v>
      </c>
      <c r="M206" s="101" t="s">
        <v>27</v>
      </c>
      <c r="N206" s="101" t="s">
        <v>21</v>
      </c>
    </row>
    <row r="207" spans="1:14" ht="19.5" x14ac:dyDescent="0.25">
      <c r="A207" s="108"/>
      <c r="B207" s="431" t="s">
        <v>22</v>
      </c>
      <c r="C207" s="431"/>
      <c r="D207" s="106"/>
      <c r="E207" s="47"/>
      <c r="F207" s="98">
        <v>12576</v>
      </c>
      <c r="G207" s="47"/>
      <c r="H207" s="47"/>
      <c r="I207" s="47"/>
      <c r="J207" s="88">
        <v>0</v>
      </c>
      <c r="K207" s="106"/>
      <c r="L207" s="47"/>
      <c r="M207" s="101"/>
      <c r="N207" s="101"/>
    </row>
    <row r="208" spans="1:14" ht="75" x14ac:dyDescent="0.25">
      <c r="A208" s="108">
        <v>88</v>
      </c>
      <c r="B208" s="108" t="s">
        <v>369</v>
      </c>
      <c r="C208" s="110" t="s">
        <v>366</v>
      </c>
      <c r="D208" s="110" t="s">
        <v>367</v>
      </c>
      <c r="E208" s="101" t="s">
        <v>370</v>
      </c>
      <c r="F208" s="67">
        <v>29.438199999999998</v>
      </c>
      <c r="G208" s="107" t="s">
        <v>371</v>
      </c>
      <c r="H208" s="69" t="s">
        <v>368</v>
      </c>
      <c r="I208" s="73">
        <v>473</v>
      </c>
      <c r="J208" s="67">
        <v>4.7300000000000004</v>
      </c>
      <c r="K208" s="68"/>
      <c r="L208" s="107">
        <v>2019</v>
      </c>
      <c r="M208" s="101" t="s">
        <v>499</v>
      </c>
      <c r="N208" s="101" t="s">
        <v>21</v>
      </c>
    </row>
    <row r="209" spans="1:14" ht="19.5" x14ac:dyDescent="0.25">
      <c r="A209" s="108"/>
      <c r="B209" s="431" t="s">
        <v>22</v>
      </c>
      <c r="C209" s="431"/>
      <c r="D209" s="106"/>
      <c r="E209" s="47"/>
      <c r="F209" s="88">
        <v>29.438199999999998</v>
      </c>
      <c r="G209" s="47"/>
      <c r="H209" s="47"/>
      <c r="I209" s="47"/>
      <c r="J209" s="67">
        <v>4.7300000000000004</v>
      </c>
      <c r="K209" s="106"/>
      <c r="L209" s="47"/>
      <c r="M209" s="101"/>
      <c r="N209" s="101"/>
    </row>
    <row r="210" spans="1:14" ht="75" x14ac:dyDescent="0.25">
      <c r="A210" s="110">
        <v>115</v>
      </c>
      <c r="B210" s="103" t="s">
        <v>405</v>
      </c>
      <c r="C210" s="110" t="s">
        <v>403</v>
      </c>
      <c r="D210" s="110" t="s">
        <v>404</v>
      </c>
      <c r="E210" s="107" t="s">
        <v>406</v>
      </c>
      <c r="F210" s="67">
        <v>12.9</v>
      </c>
      <c r="G210" s="107" t="s">
        <v>407</v>
      </c>
      <c r="H210" s="74" t="s">
        <v>16</v>
      </c>
      <c r="I210" s="74">
        <v>30905</v>
      </c>
      <c r="J210" s="74">
        <v>0.55600000000000005</v>
      </c>
      <c r="K210" s="110">
        <v>5</v>
      </c>
      <c r="L210" s="107">
        <v>2019</v>
      </c>
      <c r="M210" s="101" t="s">
        <v>1068</v>
      </c>
      <c r="N210" s="101" t="s">
        <v>21</v>
      </c>
    </row>
    <row r="211" spans="1:14" ht="19.5" x14ac:dyDescent="0.25">
      <c r="A211" s="108"/>
      <c r="B211" s="431" t="s">
        <v>22</v>
      </c>
      <c r="C211" s="431"/>
      <c r="D211" s="106"/>
      <c r="E211" s="47"/>
      <c r="F211" s="88">
        <v>12.9</v>
      </c>
      <c r="G211" s="47"/>
      <c r="H211" s="47"/>
      <c r="I211" s="47"/>
      <c r="J211" s="67">
        <v>0.55600000000000005</v>
      </c>
      <c r="K211" s="106"/>
      <c r="L211" s="47"/>
      <c r="M211" s="101"/>
      <c r="N211" s="101"/>
    </row>
    <row r="212" spans="1:14" ht="93.75" x14ac:dyDescent="0.25">
      <c r="A212" s="110">
        <v>116</v>
      </c>
      <c r="B212" s="103" t="s">
        <v>405</v>
      </c>
      <c r="C212" s="110" t="s">
        <v>408</v>
      </c>
      <c r="D212" s="110" t="s">
        <v>409</v>
      </c>
      <c r="E212" s="107" t="s">
        <v>410</v>
      </c>
      <c r="F212" s="67">
        <v>31.190999999999999</v>
      </c>
      <c r="G212" s="107" t="s">
        <v>411</v>
      </c>
      <c r="H212" s="74" t="s">
        <v>16</v>
      </c>
      <c r="I212" s="74">
        <v>572090</v>
      </c>
      <c r="J212" s="74">
        <v>10.297000000000001</v>
      </c>
      <c r="K212" s="110">
        <v>15</v>
      </c>
      <c r="L212" s="107">
        <v>2019</v>
      </c>
      <c r="M212" s="101" t="s">
        <v>1068</v>
      </c>
      <c r="N212" s="101" t="s">
        <v>21</v>
      </c>
    </row>
    <row r="213" spans="1:14" ht="19.5" x14ac:dyDescent="0.25">
      <c r="A213" s="108"/>
      <c r="B213" s="431" t="s">
        <v>22</v>
      </c>
      <c r="C213" s="431"/>
      <c r="D213" s="106"/>
      <c r="E213" s="47"/>
      <c r="F213" s="88">
        <v>31.190999999999999</v>
      </c>
      <c r="G213" s="47"/>
      <c r="H213" s="47"/>
      <c r="I213" s="47"/>
      <c r="J213" s="67">
        <v>10.297000000000001</v>
      </c>
      <c r="K213" s="106"/>
      <c r="L213" s="47"/>
      <c r="M213" s="101"/>
      <c r="N213" s="101"/>
    </row>
    <row r="214" spans="1:14" ht="37.5" x14ac:dyDescent="0.25">
      <c r="A214" s="426">
        <v>117</v>
      </c>
      <c r="B214" s="430" t="s">
        <v>414</v>
      </c>
      <c r="C214" s="620" t="s">
        <v>412</v>
      </c>
      <c r="D214" s="91" t="s">
        <v>92</v>
      </c>
      <c r="E214" s="443" t="s">
        <v>412</v>
      </c>
      <c r="F214" s="75">
        <v>1.3</v>
      </c>
      <c r="G214" s="443" t="s">
        <v>415</v>
      </c>
      <c r="H214" s="76" t="s">
        <v>413</v>
      </c>
      <c r="I214" s="77">
        <v>2.5</v>
      </c>
      <c r="J214" s="78">
        <v>0.5</v>
      </c>
      <c r="K214" s="68"/>
      <c r="L214" s="443">
        <v>2019</v>
      </c>
      <c r="M214" s="427" t="s">
        <v>471</v>
      </c>
      <c r="N214" s="427" t="s">
        <v>21</v>
      </c>
    </row>
    <row r="215" spans="1:14" ht="37.5" x14ac:dyDescent="0.25">
      <c r="A215" s="426"/>
      <c r="B215" s="430"/>
      <c r="C215" s="620"/>
      <c r="D215" s="91" t="s">
        <v>416</v>
      </c>
      <c r="E215" s="443"/>
      <c r="F215" s="75">
        <v>0.2</v>
      </c>
      <c r="G215" s="443"/>
      <c r="H215" s="79" t="s">
        <v>417</v>
      </c>
      <c r="I215" s="80">
        <v>0.06</v>
      </c>
      <c r="J215" s="75">
        <v>3.5</v>
      </c>
      <c r="K215" s="68"/>
      <c r="L215" s="443"/>
      <c r="M215" s="427"/>
      <c r="N215" s="427"/>
    </row>
    <row r="216" spans="1:14" ht="37.5" x14ac:dyDescent="0.25">
      <c r="A216" s="426"/>
      <c r="B216" s="430"/>
      <c r="C216" s="620"/>
      <c r="D216" s="91" t="s">
        <v>418</v>
      </c>
      <c r="E216" s="443"/>
      <c r="F216" s="75">
        <v>0.5</v>
      </c>
      <c r="G216" s="443"/>
      <c r="H216" s="79" t="s">
        <v>419</v>
      </c>
      <c r="I216" s="80">
        <v>3.5</v>
      </c>
      <c r="J216" s="75">
        <v>0.15</v>
      </c>
      <c r="K216" s="68"/>
      <c r="L216" s="443"/>
      <c r="M216" s="427"/>
      <c r="N216" s="427"/>
    </row>
    <row r="217" spans="1:14" ht="56.25" x14ac:dyDescent="0.25">
      <c r="A217" s="426"/>
      <c r="B217" s="430"/>
      <c r="C217" s="620"/>
      <c r="D217" s="91" t="s">
        <v>420</v>
      </c>
      <c r="E217" s="443"/>
      <c r="F217" s="75">
        <v>3.4</v>
      </c>
      <c r="G217" s="443"/>
      <c r="H217" s="79" t="s">
        <v>421</v>
      </c>
      <c r="I217" s="80">
        <v>6.6</v>
      </c>
      <c r="J217" s="75">
        <v>0.5</v>
      </c>
      <c r="K217" s="68"/>
      <c r="L217" s="443"/>
      <c r="M217" s="427"/>
      <c r="N217" s="427"/>
    </row>
    <row r="218" spans="1:14" ht="56.25" x14ac:dyDescent="0.25">
      <c r="A218" s="426"/>
      <c r="B218" s="430"/>
      <c r="C218" s="620"/>
      <c r="D218" s="91" t="s">
        <v>422</v>
      </c>
      <c r="E218" s="443"/>
      <c r="F218" s="75">
        <v>0.4</v>
      </c>
      <c r="G218" s="443"/>
      <c r="H218" s="79" t="s">
        <v>423</v>
      </c>
      <c r="I218" s="80">
        <v>1.5</v>
      </c>
      <c r="J218" s="75">
        <v>0.3</v>
      </c>
      <c r="K218" s="68"/>
      <c r="L218" s="443"/>
      <c r="M218" s="427"/>
      <c r="N218" s="427"/>
    </row>
    <row r="219" spans="1:14" ht="37.5" x14ac:dyDescent="0.25">
      <c r="A219" s="426"/>
      <c r="B219" s="430"/>
      <c r="C219" s="620"/>
      <c r="D219" s="91" t="s">
        <v>424</v>
      </c>
      <c r="E219" s="443"/>
      <c r="F219" s="75">
        <v>0.255</v>
      </c>
      <c r="G219" s="443"/>
      <c r="H219" s="79" t="s">
        <v>425</v>
      </c>
      <c r="I219" s="80">
        <v>0.432</v>
      </c>
      <c r="J219" s="75">
        <v>0.6</v>
      </c>
      <c r="K219" s="68"/>
      <c r="L219" s="443"/>
      <c r="M219" s="427"/>
      <c r="N219" s="427"/>
    </row>
    <row r="220" spans="1:14" ht="19.5" x14ac:dyDescent="0.25">
      <c r="A220" s="108"/>
      <c r="B220" s="431" t="s">
        <v>22</v>
      </c>
      <c r="C220" s="431"/>
      <c r="D220" s="106"/>
      <c r="E220" s="47"/>
      <c r="F220" s="88">
        <f>SUM(F214:F219)</f>
        <v>6.0550000000000006</v>
      </c>
      <c r="G220" s="47"/>
      <c r="H220" s="48"/>
      <c r="I220" s="48"/>
      <c r="J220" s="88">
        <f>SUM(J214:J219)</f>
        <v>5.55</v>
      </c>
      <c r="K220" s="106"/>
      <c r="L220" s="47"/>
      <c r="M220" s="101"/>
      <c r="N220" s="101"/>
    </row>
    <row r="221" spans="1:14" ht="18.75" x14ac:dyDescent="0.25">
      <c r="A221" s="109"/>
      <c r="B221" s="109" t="s">
        <v>426</v>
      </c>
      <c r="C221" s="608"/>
      <c r="D221" s="608"/>
      <c r="E221" s="51"/>
      <c r="F221" s="52" t="e">
        <f>F179+F181+#REF!+#REF!+F183+F185+#REF!+F187+F189+F191+F193+F195+F197+F199+F201+F203+F205+#REF!+F207+F209+#REF!+#REF!+#REF!+#REF!+#REF!+#REF!+#REF!+#REF!+#REF!+#REF!+#REF!+#REF!+#REF!+#REF!+#REF!+#REF!+#REF!+#REF!+#REF!+#REF!+#REF!+#REF!+#REF!+#REF!+#REF!+#REF!+F211+F213+F220</f>
        <v>#REF!</v>
      </c>
      <c r="G221" s="51"/>
      <c r="H221" s="52"/>
      <c r="I221" s="52"/>
      <c r="J221" s="52" t="e">
        <f>J179+J181+#REF!+#REF!+J183+J185+#REF!+J187+J189+J191+J193+J195+J197+J199+J201+J203+J205+#REF!+J207+J209+#REF!+#REF!+#REF!+#REF!+#REF!+#REF!+#REF!+#REF!+#REF!+#REF!+#REF!+#REF!+#REF!+#REF!+#REF!+#REF!+#REF!+#REF!+#REF!+#REF!+#REF!+#REF!+#REF!+#REF!+#REF!+#REF!+J211+J213+J220</f>
        <v>#REF!</v>
      </c>
      <c r="K221" s="109"/>
      <c r="L221" s="51"/>
      <c r="M221" s="51"/>
      <c r="N221" s="51"/>
    </row>
    <row r="222" spans="1:14" ht="112.5" x14ac:dyDescent="0.25">
      <c r="A222" s="108">
        <v>118</v>
      </c>
      <c r="B222" s="108" t="s">
        <v>435</v>
      </c>
      <c r="C222" s="108" t="s">
        <v>457</v>
      </c>
      <c r="D222" s="108" t="s">
        <v>430</v>
      </c>
      <c r="E222" s="101" t="s">
        <v>447</v>
      </c>
      <c r="F222" s="81">
        <f>2950000/1000</f>
        <v>2950</v>
      </c>
      <c r="G222" s="101" t="s">
        <v>1047</v>
      </c>
      <c r="H222" s="82" t="s">
        <v>429</v>
      </c>
      <c r="I222" s="83">
        <v>9554833</v>
      </c>
      <c r="J222" s="81">
        <v>138.43</v>
      </c>
      <c r="K222" s="108">
        <v>15</v>
      </c>
      <c r="L222" s="101">
        <v>2020</v>
      </c>
      <c r="M222" s="101" t="s">
        <v>43</v>
      </c>
      <c r="N222" s="101" t="s">
        <v>312</v>
      </c>
    </row>
    <row r="223" spans="1:14" ht="19.5" x14ac:dyDescent="0.25">
      <c r="A223" s="108"/>
      <c r="B223" s="431" t="s">
        <v>22</v>
      </c>
      <c r="C223" s="431"/>
      <c r="D223" s="108"/>
      <c r="E223" s="101"/>
      <c r="F223" s="84">
        <f>F222</f>
        <v>2950</v>
      </c>
      <c r="G223" s="101"/>
      <c r="H223" s="101"/>
      <c r="I223" s="101"/>
      <c r="J223" s="84">
        <f>J222</f>
        <v>138.43</v>
      </c>
      <c r="K223" s="108"/>
      <c r="L223" s="101"/>
      <c r="M223" s="101"/>
      <c r="N223" s="101"/>
    </row>
    <row r="224" spans="1:14" ht="112.5" x14ac:dyDescent="0.25">
      <c r="A224" s="108">
        <v>119</v>
      </c>
      <c r="B224" s="108" t="s">
        <v>435</v>
      </c>
      <c r="C224" s="108" t="s">
        <v>458</v>
      </c>
      <c r="D224" s="108" t="s">
        <v>430</v>
      </c>
      <c r="E224" s="101" t="s">
        <v>447</v>
      </c>
      <c r="F224" s="81">
        <f>1850000/1000</f>
        <v>1850</v>
      </c>
      <c r="G224" s="101" t="s">
        <v>1048</v>
      </c>
      <c r="H224" s="82" t="s">
        <v>429</v>
      </c>
      <c r="I224" s="83">
        <v>5001398</v>
      </c>
      <c r="J224" s="81">
        <v>72.459999999999994</v>
      </c>
      <c r="K224" s="108">
        <v>15</v>
      </c>
      <c r="L224" s="101">
        <v>2020</v>
      </c>
      <c r="M224" s="101" t="s">
        <v>43</v>
      </c>
      <c r="N224" s="101" t="s">
        <v>312</v>
      </c>
    </row>
    <row r="225" spans="1:14" ht="19.5" x14ac:dyDescent="0.25">
      <c r="A225" s="108"/>
      <c r="B225" s="431" t="s">
        <v>22</v>
      </c>
      <c r="C225" s="431"/>
      <c r="D225" s="108"/>
      <c r="E225" s="101"/>
      <c r="F225" s="84">
        <f>F224</f>
        <v>1850</v>
      </c>
      <c r="G225" s="101"/>
      <c r="H225" s="101"/>
      <c r="I225" s="101"/>
      <c r="J225" s="84">
        <f>J224</f>
        <v>72.459999999999994</v>
      </c>
      <c r="K225" s="108"/>
      <c r="L225" s="101"/>
      <c r="M225" s="101"/>
      <c r="N225" s="101"/>
    </row>
    <row r="226" spans="1:14" ht="37.5" x14ac:dyDescent="0.25">
      <c r="A226" s="108">
        <v>121</v>
      </c>
      <c r="B226" s="108" t="s">
        <v>433</v>
      </c>
      <c r="C226" s="91" t="s">
        <v>238</v>
      </c>
      <c r="D226" s="91" t="s">
        <v>130</v>
      </c>
      <c r="E226" s="101" t="s">
        <v>433</v>
      </c>
      <c r="F226" s="102">
        <v>10.15</v>
      </c>
      <c r="G226" s="101" t="s">
        <v>104</v>
      </c>
      <c r="H226" s="101" t="s">
        <v>434</v>
      </c>
      <c r="I226" s="101">
        <v>109.62</v>
      </c>
      <c r="J226" s="102">
        <v>1.5149999999999999</v>
      </c>
      <c r="K226" s="108">
        <v>4.3</v>
      </c>
      <c r="L226" s="101">
        <v>2019</v>
      </c>
      <c r="M226" s="101" t="s">
        <v>43</v>
      </c>
      <c r="N226" s="101" t="s">
        <v>21</v>
      </c>
    </row>
    <row r="227" spans="1:14" ht="19.5" x14ac:dyDescent="0.25">
      <c r="A227" s="108"/>
      <c r="B227" s="431" t="s">
        <v>22</v>
      </c>
      <c r="C227" s="431"/>
      <c r="D227" s="108"/>
      <c r="E227" s="101"/>
      <c r="F227" s="102">
        <f>F226</f>
        <v>10.15</v>
      </c>
      <c r="G227" s="101"/>
      <c r="H227" s="101"/>
      <c r="I227" s="101"/>
      <c r="J227" s="102">
        <f>J226</f>
        <v>1.5149999999999999</v>
      </c>
      <c r="K227" s="108"/>
      <c r="L227" s="101"/>
      <c r="M227" s="101"/>
      <c r="N227" s="101"/>
    </row>
    <row r="228" spans="1:14" ht="56.25" x14ac:dyDescent="0.25">
      <c r="A228" s="108">
        <v>122</v>
      </c>
      <c r="B228" s="108" t="s">
        <v>437</v>
      </c>
      <c r="C228" s="91" t="s">
        <v>436</v>
      </c>
      <c r="D228" s="91" t="s">
        <v>130</v>
      </c>
      <c r="E228" s="101" t="s">
        <v>437</v>
      </c>
      <c r="F228" s="102">
        <v>1.8049999999999999</v>
      </c>
      <c r="G228" s="101" t="s">
        <v>104</v>
      </c>
      <c r="H228" s="101" t="s">
        <v>456</v>
      </c>
      <c r="I228" s="101">
        <v>107060</v>
      </c>
      <c r="J228" s="102">
        <v>0.888598</v>
      </c>
      <c r="K228" s="108">
        <v>2</v>
      </c>
      <c r="L228" s="101">
        <v>2020</v>
      </c>
      <c r="M228" s="101" t="s">
        <v>438</v>
      </c>
      <c r="N228" s="101" t="s">
        <v>21</v>
      </c>
    </row>
    <row r="229" spans="1:14" ht="19.5" x14ac:dyDescent="0.25">
      <c r="A229" s="108"/>
      <c r="B229" s="431" t="s">
        <v>22</v>
      </c>
      <c r="C229" s="431"/>
      <c r="D229" s="108"/>
      <c r="E229" s="101"/>
      <c r="F229" s="102">
        <f>F228</f>
        <v>1.8049999999999999</v>
      </c>
      <c r="G229" s="101"/>
      <c r="H229" s="101"/>
      <c r="I229" s="101"/>
      <c r="J229" s="102">
        <f>J228</f>
        <v>0.888598</v>
      </c>
      <c r="K229" s="108"/>
      <c r="L229" s="101"/>
      <c r="M229" s="101"/>
      <c r="N229" s="101"/>
    </row>
    <row r="230" spans="1:14" ht="37.5" x14ac:dyDescent="0.25">
      <c r="A230" s="108">
        <v>124</v>
      </c>
      <c r="B230" s="108" t="s">
        <v>440</v>
      </c>
      <c r="C230" s="91" t="s">
        <v>92</v>
      </c>
      <c r="D230" s="91" t="s">
        <v>130</v>
      </c>
      <c r="E230" s="101" t="s">
        <v>440</v>
      </c>
      <c r="F230" s="102">
        <v>5.78</v>
      </c>
      <c r="G230" s="101" t="s">
        <v>104</v>
      </c>
      <c r="H230" s="101" t="s">
        <v>456</v>
      </c>
      <c r="I230" s="101">
        <v>46.298000000000002</v>
      </c>
      <c r="J230" s="102">
        <v>0.73614100000000005</v>
      </c>
      <c r="K230" s="108">
        <v>7.8</v>
      </c>
      <c r="L230" s="101">
        <v>2020</v>
      </c>
      <c r="M230" s="101" t="s">
        <v>442</v>
      </c>
      <c r="N230" s="101" t="s">
        <v>21</v>
      </c>
    </row>
    <row r="231" spans="1:14" ht="19.5" x14ac:dyDescent="0.25">
      <c r="A231" s="108"/>
      <c r="B231" s="431" t="s">
        <v>22</v>
      </c>
      <c r="C231" s="431"/>
      <c r="D231" s="108"/>
      <c r="E231" s="101"/>
      <c r="F231" s="102">
        <f>F230</f>
        <v>5.78</v>
      </c>
      <c r="G231" s="101"/>
      <c r="H231" s="101"/>
      <c r="I231" s="101"/>
      <c r="J231" s="102">
        <f>J230</f>
        <v>0.73614100000000005</v>
      </c>
      <c r="K231" s="108"/>
      <c r="L231" s="101"/>
      <c r="M231" s="101"/>
      <c r="N231" s="101"/>
    </row>
    <row r="232" spans="1:14" ht="37.5" x14ac:dyDescent="0.25">
      <c r="A232" s="426">
        <v>125</v>
      </c>
      <c r="B232" s="426" t="s">
        <v>444</v>
      </c>
      <c r="C232" s="551" t="s">
        <v>92</v>
      </c>
      <c r="D232" s="91" t="s">
        <v>416</v>
      </c>
      <c r="E232" s="427" t="s">
        <v>444</v>
      </c>
      <c r="F232" s="84">
        <f>1320/1000</f>
        <v>1.32</v>
      </c>
      <c r="G232" s="427" t="s">
        <v>104</v>
      </c>
      <c r="H232" s="101" t="s">
        <v>456</v>
      </c>
      <c r="I232" s="90">
        <v>58086</v>
      </c>
      <c r="J232" s="102">
        <f>232.344/1000</f>
        <v>0.23234399999999999</v>
      </c>
      <c r="K232" s="426">
        <v>7.8</v>
      </c>
      <c r="L232" s="427">
        <v>2020</v>
      </c>
      <c r="M232" s="427" t="s">
        <v>446</v>
      </c>
      <c r="N232" s="427" t="s">
        <v>21</v>
      </c>
    </row>
    <row r="233" spans="1:14" ht="56.25" x14ac:dyDescent="0.25">
      <c r="A233" s="426"/>
      <c r="B233" s="426"/>
      <c r="C233" s="551"/>
      <c r="D233" s="91" t="s">
        <v>445</v>
      </c>
      <c r="E233" s="427"/>
      <c r="F233" s="84">
        <f>2000/1000</f>
        <v>2</v>
      </c>
      <c r="G233" s="427"/>
      <c r="H233" s="101" t="s">
        <v>456</v>
      </c>
      <c r="I233" s="90">
        <v>8898</v>
      </c>
      <c r="J233" s="85">
        <f>35.592/1000</f>
        <v>3.5591999999999999E-2</v>
      </c>
      <c r="K233" s="426"/>
      <c r="L233" s="427"/>
      <c r="M233" s="427"/>
      <c r="N233" s="427"/>
    </row>
    <row r="234" spans="1:14" ht="19.5" x14ac:dyDescent="0.25">
      <c r="A234" s="108"/>
      <c r="B234" s="431" t="s">
        <v>22</v>
      </c>
      <c r="C234" s="431"/>
      <c r="D234" s="108"/>
      <c r="E234" s="101"/>
      <c r="F234" s="102">
        <f>F232+F233</f>
        <v>3.3200000000000003</v>
      </c>
      <c r="G234" s="101"/>
      <c r="H234" s="101"/>
      <c r="I234" s="101"/>
      <c r="J234" s="102">
        <f>J232+J233</f>
        <v>0.26793600000000001</v>
      </c>
      <c r="K234" s="86">
        <f>F234+F237</f>
        <v>148.46899999999999</v>
      </c>
      <c r="L234" s="101"/>
      <c r="M234" s="101"/>
      <c r="N234" s="101"/>
    </row>
    <row r="235" spans="1:14" ht="37.5" x14ac:dyDescent="0.25">
      <c r="A235" s="426">
        <v>126</v>
      </c>
      <c r="B235" s="426" t="s">
        <v>449</v>
      </c>
      <c r="C235" s="551" t="s">
        <v>451</v>
      </c>
      <c r="D235" s="91" t="s">
        <v>448</v>
      </c>
      <c r="E235" s="427" t="s">
        <v>449</v>
      </c>
      <c r="F235" s="102">
        <f>62461/1000</f>
        <v>62.460999999999999</v>
      </c>
      <c r="G235" s="427" t="s">
        <v>104</v>
      </c>
      <c r="H235" s="101" t="s">
        <v>456</v>
      </c>
      <c r="I235" s="90">
        <v>1153.268</v>
      </c>
      <c r="J235" s="102">
        <f>4613.072/1000</f>
        <v>4.6130719999999998</v>
      </c>
      <c r="K235" s="108">
        <v>13.54</v>
      </c>
      <c r="L235" s="427">
        <v>2020</v>
      </c>
      <c r="M235" s="427" t="s">
        <v>446</v>
      </c>
      <c r="N235" s="427" t="s">
        <v>21</v>
      </c>
    </row>
    <row r="236" spans="1:14" ht="37.5" x14ac:dyDescent="0.25">
      <c r="A236" s="426"/>
      <c r="B236" s="426"/>
      <c r="C236" s="551"/>
      <c r="D236" s="91" t="s">
        <v>450</v>
      </c>
      <c r="E236" s="427"/>
      <c r="F236" s="102">
        <f>82688/1000</f>
        <v>82.688000000000002</v>
      </c>
      <c r="G236" s="427"/>
      <c r="H236" s="101" t="s">
        <v>456</v>
      </c>
      <c r="I236" s="90">
        <v>3224.96</v>
      </c>
      <c r="J236" s="102">
        <v>12.899850000000001</v>
      </c>
      <c r="K236" s="108">
        <v>6.5</v>
      </c>
      <c r="L236" s="427"/>
      <c r="M236" s="427"/>
      <c r="N236" s="427"/>
    </row>
    <row r="237" spans="1:14" ht="19.5" x14ac:dyDescent="0.25">
      <c r="A237" s="108"/>
      <c r="B237" s="431" t="s">
        <v>22</v>
      </c>
      <c r="C237" s="431"/>
      <c r="D237" s="108"/>
      <c r="E237" s="101"/>
      <c r="F237" s="102">
        <f>F235+F236</f>
        <v>145.149</v>
      </c>
      <c r="G237" s="101"/>
      <c r="H237" s="101"/>
      <c r="I237" s="101"/>
      <c r="J237" s="102">
        <f>J235+J236</f>
        <v>17.512922</v>
      </c>
      <c r="K237" s="108"/>
      <c r="L237" s="101"/>
      <c r="M237" s="101"/>
      <c r="N237" s="101"/>
    </row>
    <row r="238" spans="1:14" ht="75" x14ac:dyDescent="0.25">
      <c r="A238" s="108">
        <v>127</v>
      </c>
      <c r="B238" s="108" t="s">
        <v>453</v>
      </c>
      <c r="C238" s="108" t="s">
        <v>452</v>
      </c>
      <c r="D238" s="108" t="s">
        <v>452</v>
      </c>
      <c r="E238" s="101" t="s">
        <v>455</v>
      </c>
      <c r="F238" s="102">
        <f>3113084/1000</f>
        <v>3113.0839999999998</v>
      </c>
      <c r="G238" s="101" t="s">
        <v>427</v>
      </c>
      <c r="H238" s="101" t="s">
        <v>456</v>
      </c>
      <c r="I238" s="90">
        <v>5543452</v>
      </c>
      <c r="J238" s="102">
        <f>157217/1000</f>
        <v>157.21700000000001</v>
      </c>
      <c r="K238" s="108">
        <v>5</v>
      </c>
      <c r="L238" s="101">
        <v>2020</v>
      </c>
      <c r="M238" s="101" t="s">
        <v>454</v>
      </c>
      <c r="N238" s="101" t="s">
        <v>312</v>
      </c>
    </row>
    <row r="239" spans="1:14" ht="19.5" x14ac:dyDescent="0.25">
      <c r="A239" s="108"/>
      <c r="B239" s="431" t="s">
        <v>22</v>
      </c>
      <c r="C239" s="431"/>
      <c r="D239" s="108"/>
      <c r="E239" s="101"/>
      <c r="F239" s="102">
        <f>F238</f>
        <v>3113.0839999999998</v>
      </c>
      <c r="G239" s="101"/>
      <c r="H239" s="101"/>
      <c r="I239" s="101"/>
      <c r="J239" s="102">
        <f>J238</f>
        <v>157.21700000000001</v>
      </c>
      <c r="K239" s="108"/>
      <c r="L239" s="101"/>
      <c r="M239" s="101"/>
      <c r="N239" s="101"/>
    </row>
    <row r="240" spans="1:14" ht="75" x14ac:dyDescent="0.25">
      <c r="A240" s="108">
        <v>135</v>
      </c>
      <c r="B240" s="108" t="s">
        <v>470</v>
      </c>
      <c r="C240" s="108" t="s">
        <v>468</v>
      </c>
      <c r="D240" s="108" t="s">
        <v>92</v>
      </c>
      <c r="E240" s="101" t="s">
        <v>94</v>
      </c>
      <c r="F240" s="87">
        <v>211.59970000000001</v>
      </c>
      <c r="G240" s="101" t="s">
        <v>95</v>
      </c>
      <c r="H240" s="101" t="s">
        <v>469</v>
      </c>
      <c r="I240" s="90">
        <v>5580000</v>
      </c>
      <c r="J240" s="87">
        <v>41.369700000000002</v>
      </c>
      <c r="K240" s="108">
        <v>4.5</v>
      </c>
      <c r="L240" s="101">
        <v>2020</v>
      </c>
      <c r="M240" s="101" t="s">
        <v>471</v>
      </c>
      <c r="N240" s="101" t="s">
        <v>312</v>
      </c>
    </row>
    <row r="241" spans="1:14" ht="19.5" x14ac:dyDescent="0.25">
      <c r="A241" s="108"/>
      <c r="B241" s="431" t="s">
        <v>22</v>
      </c>
      <c r="C241" s="431"/>
      <c r="D241" s="108"/>
      <c r="E241" s="101"/>
      <c r="F241" s="102">
        <f>F240</f>
        <v>211.59970000000001</v>
      </c>
      <c r="G241" s="101"/>
      <c r="H241" s="101"/>
      <c r="I241" s="101"/>
      <c r="J241" s="102">
        <f>J240</f>
        <v>41.369700000000002</v>
      </c>
      <c r="K241" s="108"/>
      <c r="L241" s="101"/>
      <c r="M241" s="101"/>
      <c r="N241" s="101"/>
    </row>
    <row r="242" spans="1:14" ht="93.75" x14ac:dyDescent="0.25">
      <c r="A242" s="108">
        <v>136</v>
      </c>
      <c r="B242" s="108" t="s">
        <v>472</v>
      </c>
      <c r="C242" s="108" t="s">
        <v>473</v>
      </c>
      <c r="D242" s="108" t="s">
        <v>474</v>
      </c>
      <c r="E242" s="101" t="s">
        <v>472</v>
      </c>
      <c r="F242" s="87">
        <f>55000/1000000</f>
        <v>5.5E-2</v>
      </c>
      <c r="G242" s="101" t="s">
        <v>104</v>
      </c>
      <c r="H242" s="101" t="s">
        <v>469</v>
      </c>
      <c r="I242" s="90">
        <v>2186.35</v>
      </c>
      <c r="J242" s="87">
        <f>31265/1000000</f>
        <v>3.1265000000000001E-2</v>
      </c>
      <c r="K242" s="108">
        <v>1.8</v>
      </c>
      <c r="L242" s="101">
        <v>2020</v>
      </c>
      <c r="M242" s="101" t="s">
        <v>43</v>
      </c>
      <c r="N242" s="101" t="s">
        <v>312</v>
      </c>
    </row>
    <row r="243" spans="1:14" ht="19.5" x14ac:dyDescent="0.25">
      <c r="A243" s="108"/>
      <c r="B243" s="431" t="s">
        <v>22</v>
      </c>
      <c r="C243" s="431"/>
      <c r="D243" s="108"/>
      <c r="E243" s="101"/>
      <c r="F243" s="102">
        <f>F242</f>
        <v>5.5E-2</v>
      </c>
      <c r="G243" s="101"/>
      <c r="H243" s="101" t="s">
        <v>469</v>
      </c>
      <c r="I243" s="101"/>
      <c r="J243" s="102">
        <f>J242</f>
        <v>3.1265000000000001E-2</v>
      </c>
      <c r="K243" s="108"/>
      <c r="L243" s="101"/>
      <c r="M243" s="101"/>
      <c r="N243" s="101"/>
    </row>
    <row r="244" spans="1:14" ht="56.25" x14ac:dyDescent="0.25">
      <c r="A244" s="108">
        <v>138</v>
      </c>
      <c r="B244" s="108" t="s">
        <v>488</v>
      </c>
      <c r="C244" s="108" t="s">
        <v>487</v>
      </c>
      <c r="D244" s="108" t="s">
        <v>490</v>
      </c>
      <c r="E244" s="101" t="s">
        <v>488</v>
      </c>
      <c r="F244" s="87">
        <f>73908.8/1000</f>
        <v>73.908799999999999</v>
      </c>
      <c r="G244" s="101" t="s">
        <v>104</v>
      </c>
      <c r="H244" s="101" t="s">
        <v>469</v>
      </c>
      <c r="I244" s="90">
        <v>146000</v>
      </c>
      <c r="J244" s="87">
        <f>4388760/1000000</f>
        <v>4.3887600000000004</v>
      </c>
      <c r="K244" s="108">
        <v>16</v>
      </c>
      <c r="L244" s="101">
        <v>2020</v>
      </c>
      <c r="M244" s="101" t="s">
        <v>471</v>
      </c>
      <c r="N244" s="101" t="s">
        <v>312</v>
      </c>
    </row>
    <row r="245" spans="1:14" ht="19.5" x14ac:dyDescent="0.25">
      <c r="A245" s="108"/>
      <c r="B245" s="431" t="s">
        <v>22</v>
      </c>
      <c r="C245" s="431"/>
      <c r="D245" s="108"/>
      <c r="E245" s="101"/>
      <c r="F245" s="102">
        <f>F244</f>
        <v>73.908799999999999</v>
      </c>
      <c r="G245" s="101"/>
      <c r="H245" s="101"/>
      <c r="I245" s="101"/>
      <c r="J245" s="102">
        <f>J244</f>
        <v>4.3887600000000004</v>
      </c>
      <c r="K245" s="108"/>
      <c r="L245" s="101"/>
      <c r="M245" s="101"/>
      <c r="N245" s="101"/>
    </row>
    <row r="246" spans="1:14" ht="75" x14ac:dyDescent="0.25">
      <c r="A246" s="108">
        <v>139</v>
      </c>
      <c r="B246" s="108" t="s">
        <v>493</v>
      </c>
      <c r="C246" s="91" t="s">
        <v>491</v>
      </c>
      <c r="D246" s="91" t="s">
        <v>430</v>
      </c>
      <c r="E246" s="101" t="s">
        <v>493</v>
      </c>
      <c r="F246" s="87">
        <f>7065/1000</f>
        <v>7.0650000000000004</v>
      </c>
      <c r="G246" s="101" t="s">
        <v>104</v>
      </c>
      <c r="H246" s="101" t="s">
        <v>469</v>
      </c>
      <c r="I246" s="90">
        <v>48600</v>
      </c>
      <c r="J246" s="87">
        <f>1007/1000</f>
        <v>1.0069999999999999</v>
      </c>
      <c r="K246" s="108">
        <v>7</v>
      </c>
      <c r="L246" s="101">
        <v>2020</v>
      </c>
      <c r="M246" s="101" t="s">
        <v>492</v>
      </c>
      <c r="N246" s="101" t="s">
        <v>312</v>
      </c>
    </row>
    <row r="247" spans="1:14" ht="19.5" x14ac:dyDescent="0.25">
      <c r="A247" s="108"/>
      <c r="B247" s="431" t="s">
        <v>22</v>
      </c>
      <c r="C247" s="431"/>
      <c r="D247" s="108"/>
      <c r="E247" s="101"/>
      <c r="F247" s="102">
        <f>F246</f>
        <v>7.0650000000000004</v>
      </c>
      <c r="G247" s="101"/>
      <c r="H247" s="101"/>
      <c r="I247" s="101"/>
      <c r="J247" s="102">
        <f>J246</f>
        <v>1.0069999999999999</v>
      </c>
      <c r="K247" s="108"/>
      <c r="L247" s="101"/>
      <c r="M247" s="101"/>
      <c r="N247" s="101"/>
    </row>
    <row r="248" spans="1:14" ht="37.5" x14ac:dyDescent="0.25">
      <c r="A248" s="108">
        <v>140</v>
      </c>
      <c r="B248" s="108" t="s">
        <v>495</v>
      </c>
      <c r="C248" s="91" t="s">
        <v>494</v>
      </c>
      <c r="D248" s="91" t="s">
        <v>494</v>
      </c>
      <c r="E248" s="101" t="s">
        <v>495</v>
      </c>
      <c r="F248" s="87">
        <f>55000/1000</f>
        <v>55</v>
      </c>
      <c r="G248" s="101" t="s">
        <v>104</v>
      </c>
      <c r="H248" s="101" t="s">
        <v>469</v>
      </c>
      <c r="I248" s="90">
        <v>75000</v>
      </c>
      <c r="J248" s="87">
        <f>3225/1000</f>
        <v>3.2250000000000001</v>
      </c>
      <c r="K248" s="108">
        <v>17</v>
      </c>
      <c r="L248" s="101">
        <v>2020</v>
      </c>
      <c r="M248" s="101" t="s">
        <v>471</v>
      </c>
      <c r="N248" s="101" t="s">
        <v>312</v>
      </c>
    </row>
    <row r="249" spans="1:14" ht="19.5" x14ac:dyDescent="0.25">
      <c r="A249" s="108"/>
      <c r="B249" s="431" t="s">
        <v>22</v>
      </c>
      <c r="C249" s="431"/>
      <c r="D249" s="108"/>
      <c r="E249" s="101"/>
      <c r="F249" s="102">
        <f>F248</f>
        <v>55</v>
      </c>
      <c r="G249" s="101"/>
      <c r="H249" s="101"/>
      <c r="I249" s="101"/>
      <c r="J249" s="102">
        <f>J248</f>
        <v>3.2250000000000001</v>
      </c>
      <c r="K249" s="108"/>
      <c r="L249" s="101"/>
      <c r="M249" s="101"/>
      <c r="N249" s="101"/>
    </row>
    <row r="250" spans="1:14" ht="75" x14ac:dyDescent="0.25">
      <c r="A250" s="108">
        <v>141</v>
      </c>
      <c r="B250" s="108" t="s">
        <v>498</v>
      </c>
      <c r="C250" s="91" t="s">
        <v>496</v>
      </c>
      <c r="D250" s="91" t="s">
        <v>497</v>
      </c>
      <c r="E250" s="101" t="s">
        <v>523</v>
      </c>
      <c r="F250" s="87">
        <f>92666/1000</f>
        <v>92.665999999999997</v>
      </c>
      <c r="G250" s="101" t="s">
        <v>524</v>
      </c>
      <c r="H250" s="101" t="s">
        <v>469</v>
      </c>
      <c r="I250" s="90">
        <v>784195.2</v>
      </c>
      <c r="J250" s="87">
        <f>12798/1000</f>
        <v>12.798</v>
      </c>
      <c r="K250" s="108">
        <v>7</v>
      </c>
      <c r="L250" s="101">
        <v>2020</v>
      </c>
      <c r="M250" s="101" t="s">
        <v>499</v>
      </c>
      <c r="N250" s="101" t="s">
        <v>312</v>
      </c>
    </row>
    <row r="251" spans="1:14" ht="19.5" x14ac:dyDescent="0.25">
      <c r="A251" s="108"/>
      <c r="B251" s="431" t="s">
        <v>22</v>
      </c>
      <c r="C251" s="431"/>
      <c r="D251" s="108"/>
      <c r="E251" s="101"/>
      <c r="F251" s="102">
        <f>F250</f>
        <v>92.665999999999997</v>
      </c>
      <c r="G251" s="101"/>
      <c r="H251" s="101"/>
      <c r="I251" s="102"/>
      <c r="J251" s="102">
        <f>J250</f>
        <v>12.798</v>
      </c>
      <c r="K251" s="108"/>
      <c r="L251" s="101"/>
      <c r="M251" s="101"/>
      <c r="N251" s="101"/>
    </row>
    <row r="252" spans="1:14" ht="56.25" x14ac:dyDescent="0.25">
      <c r="A252" s="108">
        <v>143</v>
      </c>
      <c r="B252" s="108" t="s">
        <v>508</v>
      </c>
      <c r="C252" s="91" t="s">
        <v>506</v>
      </c>
      <c r="D252" s="91" t="s">
        <v>507</v>
      </c>
      <c r="E252" s="101" t="s">
        <v>525</v>
      </c>
      <c r="F252" s="87">
        <f>7495/1000</f>
        <v>7.4950000000000001</v>
      </c>
      <c r="G252" s="101" t="s">
        <v>524</v>
      </c>
      <c r="H252" s="101" t="s">
        <v>469</v>
      </c>
      <c r="I252" s="90">
        <v>50983.199999999997</v>
      </c>
      <c r="J252" s="87">
        <f>832.04/1000</f>
        <v>0.83204</v>
      </c>
      <c r="K252" s="108">
        <v>5</v>
      </c>
      <c r="L252" s="101">
        <v>2020</v>
      </c>
      <c r="M252" s="101" t="s">
        <v>499</v>
      </c>
      <c r="N252" s="101" t="s">
        <v>501</v>
      </c>
    </row>
    <row r="253" spans="1:14" ht="19.5" x14ac:dyDescent="0.25">
      <c r="A253" s="108"/>
      <c r="B253" s="431" t="s">
        <v>22</v>
      </c>
      <c r="C253" s="431"/>
      <c r="D253" s="108"/>
      <c r="E253" s="101"/>
      <c r="F253" s="102">
        <f>F252</f>
        <v>7.4950000000000001</v>
      </c>
      <c r="G253" s="101"/>
      <c r="H253" s="101"/>
      <c r="I253" s="101"/>
      <c r="J253" s="102">
        <f>J252</f>
        <v>0.83204</v>
      </c>
      <c r="K253" s="108"/>
      <c r="L253" s="101"/>
      <c r="M253" s="101"/>
      <c r="N253" s="101"/>
    </row>
    <row r="254" spans="1:14" ht="56.25" x14ac:dyDescent="0.25">
      <c r="A254" s="108">
        <v>144</v>
      </c>
      <c r="B254" s="108" t="s">
        <v>510</v>
      </c>
      <c r="C254" s="91" t="s">
        <v>509</v>
      </c>
      <c r="D254" s="91" t="s">
        <v>507</v>
      </c>
      <c r="E254" s="101" t="s">
        <v>526</v>
      </c>
      <c r="F254" s="87">
        <f>7500/1000</f>
        <v>7.5</v>
      </c>
      <c r="G254" s="101" t="s">
        <v>524</v>
      </c>
      <c r="H254" s="101" t="s">
        <v>469</v>
      </c>
      <c r="I254" s="90">
        <v>64718.8</v>
      </c>
      <c r="J254" s="87">
        <f>1056.212/1000</f>
        <v>1.0562119999999999</v>
      </c>
      <c r="K254" s="108">
        <v>5</v>
      </c>
      <c r="L254" s="101">
        <v>2020</v>
      </c>
      <c r="M254" s="101" t="s">
        <v>499</v>
      </c>
      <c r="N254" s="101" t="s">
        <v>501</v>
      </c>
    </row>
    <row r="255" spans="1:14" ht="19.5" x14ac:dyDescent="0.25">
      <c r="A255" s="108"/>
      <c r="B255" s="431" t="s">
        <v>22</v>
      </c>
      <c r="C255" s="431"/>
      <c r="D255" s="108"/>
      <c r="E255" s="101"/>
      <c r="F255" s="102">
        <f>F254</f>
        <v>7.5</v>
      </c>
      <c r="G255" s="101"/>
      <c r="H255" s="101"/>
      <c r="I255" s="101"/>
      <c r="J255" s="102">
        <f>J254</f>
        <v>1.0562119999999999</v>
      </c>
      <c r="K255" s="108"/>
      <c r="L255" s="101"/>
      <c r="M255" s="101"/>
      <c r="N255" s="101"/>
    </row>
    <row r="256" spans="1:14" ht="37.5" x14ac:dyDescent="0.25">
      <c r="A256" s="426">
        <v>145</v>
      </c>
      <c r="B256" s="426" t="s">
        <v>512</v>
      </c>
      <c r="C256" s="551" t="s">
        <v>511</v>
      </c>
      <c r="D256" s="91" t="s">
        <v>529</v>
      </c>
      <c r="E256" s="427" t="s">
        <v>522</v>
      </c>
      <c r="F256" s="87">
        <f>17270.1/1000</f>
        <v>17.270099999999999</v>
      </c>
      <c r="G256" s="427" t="s">
        <v>524</v>
      </c>
      <c r="H256" s="101" t="s">
        <v>514</v>
      </c>
      <c r="I256" s="90">
        <v>16.7</v>
      </c>
      <c r="J256" s="87">
        <f>3202/1000</f>
        <v>3.202</v>
      </c>
      <c r="K256" s="108">
        <v>5.4</v>
      </c>
      <c r="L256" s="427">
        <v>2020</v>
      </c>
      <c r="M256" s="427" t="s">
        <v>438</v>
      </c>
      <c r="N256" s="427" t="s">
        <v>501</v>
      </c>
    </row>
    <row r="257" spans="1:14" ht="37.5" x14ac:dyDescent="0.25">
      <c r="A257" s="426"/>
      <c r="B257" s="426"/>
      <c r="C257" s="551"/>
      <c r="D257" s="91" t="s">
        <v>513</v>
      </c>
      <c r="E257" s="427"/>
      <c r="F257" s="87">
        <f>6072/1000</f>
        <v>6.0720000000000001</v>
      </c>
      <c r="G257" s="427"/>
      <c r="H257" s="101" t="s">
        <v>469</v>
      </c>
      <c r="I257" s="90">
        <v>1307967</v>
      </c>
      <c r="J257" s="87">
        <f>1877.4/1000</f>
        <v>1.8774000000000002</v>
      </c>
      <c r="K257" s="108">
        <v>3.2</v>
      </c>
      <c r="L257" s="427"/>
      <c r="M257" s="427"/>
      <c r="N257" s="427"/>
    </row>
    <row r="258" spans="1:14" ht="19.5" x14ac:dyDescent="0.25">
      <c r="A258" s="108"/>
      <c r="B258" s="431" t="s">
        <v>22</v>
      </c>
      <c r="C258" s="431"/>
      <c r="D258" s="108"/>
      <c r="E258" s="101"/>
      <c r="F258" s="102">
        <f>SUM(F256:F257)</f>
        <v>23.342099999999999</v>
      </c>
      <c r="G258" s="101"/>
      <c r="H258" s="101"/>
      <c r="I258" s="101"/>
      <c r="J258" s="102">
        <f>J256+J257</f>
        <v>5.0793999999999997</v>
      </c>
      <c r="K258" s="108"/>
      <c r="L258" s="101"/>
      <c r="M258" s="101"/>
      <c r="N258" s="101"/>
    </row>
    <row r="259" spans="1:14" ht="75" x14ac:dyDescent="0.25">
      <c r="A259" s="108">
        <v>146</v>
      </c>
      <c r="B259" s="108" t="s">
        <v>516</v>
      </c>
      <c r="C259" s="91" t="s">
        <v>515</v>
      </c>
      <c r="D259" s="91" t="s">
        <v>515</v>
      </c>
      <c r="E259" s="101" t="s">
        <v>516</v>
      </c>
      <c r="F259" s="87">
        <f>7200/1000</f>
        <v>7.2</v>
      </c>
      <c r="G259" s="101" t="s">
        <v>104</v>
      </c>
      <c r="H259" s="101" t="s">
        <v>469</v>
      </c>
      <c r="I259" s="90">
        <v>103328</v>
      </c>
      <c r="J259" s="87">
        <f>1354/1000</f>
        <v>1.3540000000000001</v>
      </c>
      <c r="K259" s="108">
        <v>5</v>
      </c>
      <c r="L259" s="101">
        <v>2020</v>
      </c>
      <c r="M259" s="101" t="s">
        <v>1148</v>
      </c>
      <c r="N259" s="101" t="s">
        <v>312</v>
      </c>
    </row>
    <row r="260" spans="1:14" ht="19.5" x14ac:dyDescent="0.25">
      <c r="A260" s="108"/>
      <c r="B260" s="431" t="s">
        <v>22</v>
      </c>
      <c r="C260" s="431"/>
      <c r="D260" s="108"/>
      <c r="E260" s="101"/>
      <c r="F260" s="102">
        <f>F259</f>
        <v>7.2</v>
      </c>
      <c r="G260" s="101"/>
      <c r="H260" s="101"/>
      <c r="I260" s="101"/>
      <c r="J260" s="102">
        <f>J259</f>
        <v>1.3540000000000001</v>
      </c>
      <c r="K260" s="108"/>
      <c r="L260" s="101"/>
      <c r="M260" s="101"/>
      <c r="N260" s="101"/>
    </row>
    <row r="261" spans="1:14" ht="56.25" x14ac:dyDescent="0.25">
      <c r="A261" s="108">
        <v>148</v>
      </c>
      <c r="B261" s="108" t="s">
        <v>521</v>
      </c>
      <c r="C261" s="91" t="s">
        <v>519</v>
      </c>
      <c r="D261" s="91" t="s">
        <v>520</v>
      </c>
      <c r="E261" s="101" t="s">
        <v>521</v>
      </c>
      <c r="F261" s="87">
        <f>624.41/1000</f>
        <v>0.62441000000000002</v>
      </c>
      <c r="G261" s="101" t="s">
        <v>104</v>
      </c>
      <c r="H261" s="101" t="s">
        <v>469</v>
      </c>
      <c r="I261" s="90">
        <v>12171</v>
      </c>
      <c r="J261" s="87">
        <f>208.136/1000</f>
        <v>0.20813599999999999</v>
      </c>
      <c r="K261" s="108">
        <v>3</v>
      </c>
      <c r="L261" s="101">
        <v>2020</v>
      </c>
      <c r="M261" s="101" t="s">
        <v>442</v>
      </c>
      <c r="N261" s="101" t="s">
        <v>21</v>
      </c>
    </row>
    <row r="262" spans="1:14" ht="19.5" x14ac:dyDescent="0.25">
      <c r="A262" s="108"/>
      <c r="B262" s="431" t="s">
        <v>22</v>
      </c>
      <c r="C262" s="431"/>
      <c r="D262" s="108"/>
      <c r="E262" s="101"/>
      <c r="F262" s="102">
        <f>F261</f>
        <v>0.62441000000000002</v>
      </c>
      <c r="G262" s="101"/>
      <c r="H262" s="101"/>
      <c r="I262" s="101"/>
      <c r="J262" s="102">
        <f>J261</f>
        <v>0.20813599999999999</v>
      </c>
      <c r="K262" s="108"/>
      <c r="L262" s="101"/>
      <c r="M262" s="101"/>
      <c r="N262" s="101"/>
    </row>
    <row r="263" spans="1:14" ht="93.75" x14ac:dyDescent="0.25">
      <c r="A263" s="108">
        <v>149</v>
      </c>
      <c r="B263" s="108" t="s">
        <v>532</v>
      </c>
      <c r="C263" s="91" t="s">
        <v>531</v>
      </c>
      <c r="D263" s="91" t="s">
        <v>533</v>
      </c>
      <c r="E263" s="101" t="s">
        <v>534</v>
      </c>
      <c r="F263" s="87">
        <f>446015/1000</f>
        <v>446.01499999999999</v>
      </c>
      <c r="G263" s="101" t="s">
        <v>427</v>
      </c>
      <c r="H263" s="101" t="s">
        <v>469</v>
      </c>
      <c r="I263" s="90">
        <v>2042462</v>
      </c>
      <c r="J263" s="87">
        <f>43790/1000</f>
        <v>43.79</v>
      </c>
      <c r="K263" s="108">
        <v>10</v>
      </c>
      <c r="L263" s="101">
        <v>2020</v>
      </c>
      <c r="M263" s="101" t="s">
        <v>438</v>
      </c>
      <c r="N263" s="101" t="s">
        <v>312</v>
      </c>
    </row>
    <row r="264" spans="1:14" ht="19.5" x14ac:dyDescent="0.25">
      <c r="A264" s="108"/>
      <c r="B264" s="431" t="s">
        <v>22</v>
      </c>
      <c r="C264" s="431"/>
      <c r="D264" s="108"/>
      <c r="E264" s="101"/>
      <c r="F264" s="102">
        <f>F263</f>
        <v>446.01499999999999</v>
      </c>
      <c r="G264" s="101"/>
      <c r="H264" s="101"/>
      <c r="I264" s="101"/>
      <c r="J264" s="102">
        <f>J263</f>
        <v>43.79</v>
      </c>
      <c r="K264" s="108"/>
      <c r="L264" s="101"/>
      <c r="M264" s="101"/>
      <c r="N264" s="101"/>
    </row>
    <row r="265" spans="1:14" ht="18.75" x14ac:dyDescent="0.25">
      <c r="A265" s="109"/>
      <c r="B265" s="109" t="s">
        <v>443</v>
      </c>
      <c r="C265" s="608"/>
      <c r="D265" s="608"/>
      <c r="E265" s="51"/>
      <c r="F265" s="34" t="e">
        <f>F223+F225+#REF!+F227+F229+#REF!+F231+F234+F237+F239+#REF!+#REF!+#REF!+#REF!+#REF!+#REF!+F241+#REF!+F243+#REF!+F245+F247+F249+F251+#REF!+F253+F255+F258+F260+#REF!+F262+F264</f>
        <v>#REF!</v>
      </c>
      <c r="G265" s="51"/>
      <c r="H265" s="34"/>
      <c r="I265" s="34"/>
      <c r="J265" s="34" t="e">
        <f>J223+J225+#REF!+J227+J229+#REF!+J231+J234+J237+J239+#REF!+#REF!+#REF!+#REF!+#REF!+#REF!+J241+#REF!+J243+#REF!+J245+J247+J249+J251+#REF!+J253+J255+J258+J260+#REF!+J262+J264</f>
        <v>#REF!</v>
      </c>
      <c r="K265" s="109"/>
      <c r="L265" s="51"/>
      <c r="M265" s="51"/>
      <c r="N265" s="51"/>
    </row>
    <row r="266" spans="1:14" ht="56.25" x14ac:dyDescent="0.25">
      <c r="A266" s="108">
        <v>150</v>
      </c>
      <c r="B266" s="108" t="s">
        <v>1058</v>
      </c>
      <c r="C266" s="91" t="s">
        <v>1059</v>
      </c>
      <c r="D266" s="91" t="s">
        <v>1059</v>
      </c>
      <c r="E266" s="101" t="s">
        <v>1060</v>
      </c>
      <c r="F266" s="87">
        <f>1804709/1000</f>
        <v>1804.7090000000001</v>
      </c>
      <c r="G266" s="101" t="s">
        <v>1112</v>
      </c>
      <c r="H266" s="87" t="s">
        <v>1110</v>
      </c>
      <c r="I266" s="90">
        <v>1350579</v>
      </c>
      <c r="J266" s="87">
        <f>27713.881/1000</f>
        <v>27.713881000000001</v>
      </c>
      <c r="K266" s="108">
        <v>3</v>
      </c>
      <c r="L266" s="101">
        <v>2021</v>
      </c>
      <c r="M266" s="101" t="s">
        <v>1061</v>
      </c>
      <c r="N266" s="113" t="s">
        <v>312</v>
      </c>
    </row>
    <row r="267" spans="1:14" ht="19.5" x14ac:dyDescent="0.25">
      <c r="A267" s="108"/>
      <c r="B267" s="431" t="s">
        <v>22</v>
      </c>
      <c r="C267" s="431"/>
      <c r="D267" s="108"/>
      <c r="E267" s="101"/>
      <c r="F267" s="37">
        <f>SUM(F266:F266)</f>
        <v>1804.7090000000001</v>
      </c>
      <c r="G267" s="101"/>
      <c r="H267" s="102"/>
      <c r="I267" s="102"/>
      <c r="J267" s="37">
        <f>J266</f>
        <v>27.713881000000001</v>
      </c>
      <c r="K267" s="108"/>
      <c r="L267" s="101"/>
      <c r="M267" s="101"/>
      <c r="N267" s="113"/>
    </row>
    <row r="268" spans="1:14" ht="93.75" x14ac:dyDescent="0.25">
      <c r="A268" s="108">
        <v>151</v>
      </c>
      <c r="B268" s="108" t="s">
        <v>88</v>
      </c>
      <c r="C268" s="91" t="s">
        <v>1062</v>
      </c>
      <c r="D268" s="91" t="s">
        <v>1063</v>
      </c>
      <c r="E268" s="101" t="s">
        <v>89</v>
      </c>
      <c r="F268" s="87">
        <v>8374.7000000000007</v>
      </c>
      <c r="G268" s="101" t="s">
        <v>427</v>
      </c>
      <c r="H268" s="87" t="s">
        <v>1110</v>
      </c>
      <c r="I268" s="90">
        <v>3717000</v>
      </c>
      <c r="J268" s="87">
        <v>66.757320000000007</v>
      </c>
      <c r="K268" s="108">
        <v>5</v>
      </c>
      <c r="L268" s="101">
        <v>2021</v>
      </c>
      <c r="M268" s="101" t="s">
        <v>1064</v>
      </c>
      <c r="N268" s="113" t="s">
        <v>312</v>
      </c>
    </row>
    <row r="269" spans="1:14" ht="19.5" x14ac:dyDescent="0.25">
      <c r="A269" s="108"/>
      <c r="B269" s="431" t="s">
        <v>22</v>
      </c>
      <c r="C269" s="431"/>
      <c r="D269" s="108"/>
      <c r="E269" s="101"/>
      <c r="F269" s="37">
        <f>SUM(F268:F268)</f>
        <v>8374.7000000000007</v>
      </c>
      <c r="G269" s="101"/>
      <c r="H269" s="102"/>
      <c r="I269" s="102"/>
      <c r="J269" s="37">
        <f>J268</f>
        <v>66.757320000000007</v>
      </c>
      <c r="K269" s="108"/>
      <c r="L269" s="101"/>
      <c r="M269" s="101"/>
      <c r="N269" s="113"/>
    </row>
    <row r="270" spans="1:14" ht="56.25" x14ac:dyDescent="0.25">
      <c r="A270" s="108">
        <v>152</v>
      </c>
      <c r="B270" s="108" t="s">
        <v>1065</v>
      </c>
      <c r="C270" s="91" t="s">
        <v>1066</v>
      </c>
      <c r="D270" s="91" t="s">
        <v>507</v>
      </c>
      <c r="E270" s="101" t="s">
        <v>1067</v>
      </c>
      <c r="F270" s="87">
        <v>113.7491</v>
      </c>
      <c r="G270" s="101" t="s">
        <v>524</v>
      </c>
      <c r="H270" s="87" t="s">
        <v>1110</v>
      </c>
      <c r="I270" s="90">
        <v>696400</v>
      </c>
      <c r="J270" s="87">
        <v>19.2624</v>
      </c>
      <c r="K270" s="108">
        <v>5.9</v>
      </c>
      <c r="L270" s="101">
        <v>2021</v>
      </c>
      <c r="M270" s="101" t="s">
        <v>1068</v>
      </c>
      <c r="N270" s="113" t="s">
        <v>21</v>
      </c>
    </row>
    <row r="271" spans="1:14" ht="19.5" x14ac:dyDescent="0.25">
      <c r="A271" s="108"/>
      <c r="B271" s="431" t="s">
        <v>22</v>
      </c>
      <c r="C271" s="431"/>
      <c r="D271" s="108"/>
      <c r="E271" s="101"/>
      <c r="F271" s="88">
        <v>113.7491</v>
      </c>
      <c r="G271" s="101"/>
      <c r="H271" s="101"/>
      <c r="I271" s="101"/>
      <c r="J271" s="37">
        <f>J270</f>
        <v>19.2624</v>
      </c>
      <c r="K271" s="108"/>
      <c r="L271" s="101"/>
      <c r="M271" s="101"/>
      <c r="N271" s="113"/>
    </row>
    <row r="272" spans="1:14" ht="37.5" x14ac:dyDescent="0.25">
      <c r="A272" s="108">
        <v>153</v>
      </c>
      <c r="B272" s="108" t="s">
        <v>1069</v>
      </c>
      <c r="C272" s="91" t="s">
        <v>1070</v>
      </c>
      <c r="D272" s="91" t="s">
        <v>507</v>
      </c>
      <c r="E272" s="101" t="s">
        <v>1067</v>
      </c>
      <c r="F272" s="87">
        <v>129.47999999999999</v>
      </c>
      <c r="G272" s="101" t="s">
        <v>524</v>
      </c>
      <c r="H272" s="87" t="s">
        <v>1110</v>
      </c>
      <c r="I272" s="90">
        <v>367200</v>
      </c>
      <c r="J272" s="87">
        <v>10.1568</v>
      </c>
      <c r="K272" s="108">
        <v>8.3000000000000007</v>
      </c>
      <c r="L272" s="101">
        <v>2020</v>
      </c>
      <c r="M272" s="101" t="s">
        <v>1068</v>
      </c>
      <c r="N272" s="113" t="s">
        <v>21</v>
      </c>
    </row>
    <row r="273" spans="1:14" ht="19.5" x14ac:dyDescent="0.25">
      <c r="A273" s="108"/>
      <c r="B273" s="431" t="s">
        <v>22</v>
      </c>
      <c r="C273" s="431"/>
      <c r="D273" s="108"/>
      <c r="E273" s="101"/>
      <c r="F273" s="37">
        <f>F272</f>
        <v>129.47999999999999</v>
      </c>
      <c r="G273" s="101"/>
      <c r="H273" s="101"/>
      <c r="I273" s="101"/>
      <c r="J273" s="37">
        <f>J272</f>
        <v>10.1568</v>
      </c>
      <c r="K273" s="108"/>
      <c r="L273" s="101"/>
      <c r="M273" s="101"/>
      <c r="N273" s="113"/>
    </row>
    <row r="274" spans="1:14" ht="56.25" x14ac:dyDescent="0.25">
      <c r="A274" s="108">
        <v>154</v>
      </c>
      <c r="B274" s="108" t="s">
        <v>1071</v>
      </c>
      <c r="C274" s="91" t="s">
        <v>1072</v>
      </c>
      <c r="D274" s="91" t="s">
        <v>507</v>
      </c>
      <c r="E274" s="101" t="s">
        <v>522</v>
      </c>
      <c r="F274" s="87">
        <v>4.3042999999999996</v>
      </c>
      <c r="G274" s="101" t="s">
        <v>524</v>
      </c>
      <c r="H274" s="87" t="s">
        <v>1110</v>
      </c>
      <c r="I274" s="90">
        <v>55800</v>
      </c>
      <c r="J274" s="87">
        <v>0.87860000000000005</v>
      </c>
      <c r="K274" s="108">
        <v>4.9000000000000004</v>
      </c>
      <c r="L274" s="101">
        <v>2021</v>
      </c>
      <c r="M274" s="101" t="s">
        <v>471</v>
      </c>
      <c r="N274" s="113" t="s">
        <v>21</v>
      </c>
    </row>
    <row r="275" spans="1:14" ht="19.5" x14ac:dyDescent="0.25">
      <c r="A275" s="108"/>
      <c r="B275" s="431" t="s">
        <v>22</v>
      </c>
      <c r="C275" s="431"/>
      <c r="D275" s="108"/>
      <c r="E275" s="101"/>
      <c r="F275" s="37">
        <f>SUM(F274:F274)</f>
        <v>4.3042999999999996</v>
      </c>
      <c r="G275" s="101"/>
      <c r="H275" s="101"/>
      <c r="I275" s="101"/>
      <c r="J275" s="37">
        <f>J274</f>
        <v>0.87860000000000005</v>
      </c>
      <c r="K275" s="108"/>
      <c r="L275" s="101"/>
      <c r="M275" s="101"/>
      <c r="N275" s="113"/>
    </row>
    <row r="276" spans="1:14" ht="56.25" x14ac:dyDescent="0.25">
      <c r="A276" s="108">
        <v>155</v>
      </c>
      <c r="B276" s="108" t="s">
        <v>1171</v>
      </c>
      <c r="C276" s="91" t="s">
        <v>1074</v>
      </c>
      <c r="D276" s="91" t="s">
        <v>507</v>
      </c>
      <c r="E276" s="101" t="s">
        <v>1075</v>
      </c>
      <c r="F276" s="87">
        <v>49.051000000000002</v>
      </c>
      <c r="G276" s="101" t="s">
        <v>524</v>
      </c>
      <c r="H276" s="87" t="s">
        <v>1110</v>
      </c>
      <c r="I276" s="90">
        <v>76173</v>
      </c>
      <c r="J276" s="87">
        <v>2.6538680000000001</v>
      </c>
      <c r="K276" s="108">
        <v>18.399999999999999</v>
      </c>
      <c r="L276" s="101">
        <v>2021</v>
      </c>
      <c r="M276" s="101" t="s">
        <v>1061</v>
      </c>
      <c r="N276" s="113" t="s">
        <v>21</v>
      </c>
    </row>
    <row r="277" spans="1:14" ht="19.5" x14ac:dyDescent="0.25">
      <c r="A277" s="108"/>
      <c r="B277" s="431" t="s">
        <v>22</v>
      </c>
      <c r="C277" s="431"/>
      <c r="D277" s="108"/>
      <c r="E277" s="101"/>
      <c r="F277" s="37">
        <f>F276</f>
        <v>49.051000000000002</v>
      </c>
      <c r="G277" s="101"/>
      <c r="H277" s="101"/>
      <c r="I277" s="101"/>
      <c r="J277" s="37">
        <f>J276</f>
        <v>2.6538680000000001</v>
      </c>
      <c r="K277" s="108"/>
      <c r="L277" s="101"/>
      <c r="M277" s="101"/>
      <c r="N277" s="113"/>
    </row>
    <row r="278" spans="1:14" ht="112.5" x14ac:dyDescent="0.25">
      <c r="A278" s="108">
        <v>156</v>
      </c>
      <c r="B278" s="111" t="s">
        <v>1172</v>
      </c>
      <c r="C278" s="91" t="s">
        <v>1077</v>
      </c>
      <c r="D278" s="91" t="s">
        <v>507</v>
      </c>
      <c r="E278" s="101" t="s">
        <v>522</v>
      </c>
      <c r="F278" s="87">
        <v>27.896999999999998</v>
      </c>
      <c r="G278" s="101" t="s">
        <v>524</v>
      </c>
      <c r="H278" s="87" t="s">
        <v>1110</v>
      </c>
      <c r="I278" s="90">
        <v>128400</v>
      </c>
      <c r="J278" s="87">
        <v>3.3325</v>
      </c>
      <c r="K278" s="108">
        <v>8.4</v>
      </c>
      <c r="L278" s="101">
        <v>2021</v>
      </c>
      <c r="M278" s="101" t="s">
        <v>492</v>
      </c>
      <c r="N278" s="113" t="s">
        <v>21</v>
      </c>
    </row>
    <row r="279" spans="1:14" ht="19.5" x14ac:dyDescent="0.25">
      <c r="A279" s="108"/>
      <c r="B279" s="431" t="s">
        <v>22</v>
      </c>
      <c r="C279" s="431"/>
      <c r="D279" s="108"/>
      <c r="E279" s="101"/>
      <c r="F279" s="37">
        <f>F278</f>
        <v>27.896999999999998</v>
      </c>
      <c r="G279" s="101"/>
      <c r="H279" s="101"/>
      <c r="I279" s="101"/>
      <c r="J279" s="37">
        <f>J278</f>
        <v>3.3325</v>
      </c>
      <c r="K279" s="108"/>
      <c r="L279" s="101"/>
      <c r="M279" s="101"/>
      <c r="N279" s="113"/>
    </row>
    <row r="280" spans="1:14" ht="75" x14ac:dyDescent="0.25">
      <c r="A280" s="108">
        <v>157</v>
      </c>
      <c r="B280" s="108" t="s">
        <v>1096</v>
      </c>
      <c r="C280" s="91" t="s">
        <v>1078</v>
      </c>
      <c r="D280" s="91" t="s">
        <v>1079</v>
      </c>
      <c r="E280" s="101" t="s">
        <v>1080</v>
      </c>
      <c r="F280" s="87">
        <v>10588.367</v>
      </c>
      <c r="G280" s="101" t="s">
        <v>427</v>
      </c>
      <c r="H280" s="87" t="s">
        <v>1110</v>
      </c>
      <c r="I280" s="89">
        <v>1207.92</v>
      </c>
      <c r="J280" s="87">
        <v>35.635109999999997</v>
      </c>
      <c r="K280" s="108">
        <v>5</v>
      </c>
      <c r="L280" s="101">
        <v>2021</v>
      </c>
      <c r="M280" s="101" t="s">
        <v>1081</v>
      </c>
      <c r="N280" s="113" t="s">
        <v>312</v>
      </c>
    </row>
    <row r="281" spans="1:14" ht="19.5" x14ac:dyDescent="0.25">
      <c r="A281" s="108"/>
      <c r="B281" s="431" t="s">
        <v>22</v>
      </c>
      <c r="C281" s="431"/>
      <c r="D281" s="108"/>
      <c r="E281" s="101"/>
      <c r="F281" s="37">
        <f>F280</f>
        <v>10588.367</v>
      </c>
      <c r="G281" s="101"/>
      <c r="H281" s="101"/>
      <c r="I281" s="101"/>
      <c r="J281" s="37">
        <f>J280</f>
        <v>35.635109999999997</v>
      </c>
      <c r="K281" s="108"/>
      <c r="L281" s="101"/>
      <c r="M281" s="101"/>
      <c r="N281" s="113"/>
    </row>
    <row r="282" spans="1:14" ht="112.5" x14ac:dyDescent="0.25">
      <c r="A282" s="108">
        <v>158</v>
      </c>
      <c r="B282" s="108" t="s">
        <v>1173</v>
      </c>
      <c r="C282" s="108" t="s">
        <v>1159</v>
      </c>
      <c r="D282" s="108" t="s">
        <v>1160</v>
      </c>
      <c r="E282" s="101" t="s">
        <v>94</v>
      </c>
      <c r="F282" s="87">
        <v>975.10699999999997</v>
      </c>
      <c r="G282" s="101" t="s">
        <v>428</v>
      </c>
      <c r="H282" s="87" t="s">
        <v>1110</v>
      </c>
      <c r="I282" s="90">
        <v>44163358</v>
      </c>
      <c r="J282" s="87">
        <v>366.02589999999998</v>
      </c>
      <c r="K282" s="108">
        <v>3.2</v>
      </c>
      <c r="L282" s="101">
        <v>2021</v>
      </c>
      <c r="M282" s="101" t="s">
        <v>471</v>
      </c>
      <c r="N282" s="113" t="s">
        <v>21</v>
      </c>
    </row>
    <row r="283" spans="1:14" ht="19.5" x14ac:dyDescent="0.25">
      <c r="A283" s="108"/>
      <c r="B283" s="431" t="s">
        <v>22</v>
      </c>
      <c r="C283" s="431"/>
      <c r="D283" s="108"/>
      <c r="E283" s="101"/>
      <c r="F283" s="37">
        <f>F282</f>
        <v>975.10699999999997</v>
      </c>
      <c r="G283" s="101"/>
      <c r="H283" s="101"/>
      <c r="I283" s="101"/>
      <c r="J283" s="37">
        <f>J282</f>
        <v>366.02589999999998</v>
      </c>
      <c r="K283" s="108"/>
      <c r="L283" s="101"/>
      <c r="M283" s="101"/>
      <c r="N283" s="113"/>
    </row>
    <row r="284" spans="1:14" ht="131.25" x14ac:dyDescent="0.25">
      <c r="A284" s="108">
        <v>159</v>
      </c>
      <c r="B284" s="108" t="s">
        <v>1108</v>
      </c>
      <c r="C284" s="91" t="s">
        <v>1109</v>
      </c>
      <c r="D284" s="91" t="s">
        <v>1174</v>
      </c>
      <c r="E284" s="113" t="s">
        <v>1111</v>
      </c>
      <c r="F284" s="87">
        <v>216.7208</v>
      </c>
      <c r="G284" s="101" t="s">
        <v>428</v>
      </c>
      <c r="H284" s="87" t="s">
        <v>1110</v>
      </c>
      <c r="I284" s="90">
        <v>2542325</v>
      </c>
      <c r="J284" s="87">
        <v>39.177230000000002</v>
      </c>
      <c r="K284" s="108">
        <v>5</v>
      </c>
      <c r="L284" s="101">
        <v>2021</v>
      </c>
      <c r="M284" s="101" t="s">
        <v>27</v>
      </c>
      <c r="N284" s="113" t="s">
        <v>21</v>
      </c>
    </row>
    <row r="285" spans="1:14" ht="19.5" x14ac:dyDescent="0.25">
      <c r="A285" s="108"/>
      <c r="B285" s="431" t="s">
        <v>22</v>
      </c>
      <c r="C285" s="431"/>
      <c r="D285" s="91"/>
      <c r="E285" s="113"/>
      <c r="F285" s="88">
        <v>216.7208</v>
      </c>
      <c r="G285" s="101"/>
      <c r="H285" s="101"/>
      <c r="I285" s="90"/>
      <c r="J285" s="37">
        <f>J284</f>
        <v>39.177230000000002</v>
      </c>
      <c r="K285" s="108"/>
      <c r="L285" s="101"/>
      <c r="M285" s="101"/>
      <c r="N285" s="113"/>
    </row>
    <row r="286" spans="1:14" ht="56.25" x14ac:dyDescent="0.25">
      <c r="A286" s="108">
        <v>161</v>
      </c>
      <c r="B286" s="108" t="s">
        <v>1177</v>
      </c>
      <c r="C286" s="111" t="s">
        <v>1115</v>
      </c>
      <c r="D286" s="111" t="s">
        <v>1116</v>
      </c>
      <c r="E286" s="101" t="s">
        <v>1117</v>
      </c>
      <c r="F286" s="89">
        <v>163.26249999999999</v>
      </c>
      <c r="G286" s="101" t="s">
        <v>524</v>
      </c>
      <c r="H286" s="87" t="s">
        <v>1110</v>
      </c>
      <c r="I286" s="90">
        <v>1417295</v>
      </c>
      <c r="J286" s="87">
        <v>12.07535</v>
      </c>
      <c r="K286" s="108">
        <v>13.5</v>
      </c>
      <c r="L286" s="101">
        <v>2021</v>
      </c>
      <c r="M286" s="101" t="s">
        <v>492</v>
      </c>
      <c r="N286" s="113" t="s">
        <v>21</v>
      </c>
    </row>
    <row r="287" spans="1:14" ht="19.5" x14ac:dyDescent="0.25">
      <c r="A287" s="108"/>
      <c r="B287" s="431" t="s">
        <v>22</v>
      </c>
      <c r="C287" s="431"/>
      <c r="D287" s="111"/>
      <c r="E287" s="101"/>
      <c r="F287" s="92">
        <v>163.26249999999999</v>
      </c>
      <c r="G287" s="101"/>
      <c r="H287" s="101"/>
      <c r="I287" s="87"/>
      <c r="J287" s="88">
        <f>J286</f>
        <v>12.07535</v>
      </c>
      <c r="K287" s="108"/>
      <c r="L287" s="101"/>
      <c r="M287" s="101"/>
      <c r="N287" s="113"/>
    </row>
    <row r="288" spans="1:14" ht="56.25" x14ac:dyDescent="0.25">
      <c r="A288" s="108">
        <v>162</v>
      </c>
      <c r="B288" s="111" t="s">
        <v>1178</v>
      </c>
      <c r="C288" s="111" t="s">
        <v>1118</v>
      </c>
      <c r="D288" s="111" t="s">
        <v>1119</v>
      </c>
      <c r="E288" s="101" t="s">
        <v>1117</v>
      </c>
      <c r="F288" s="89">
        <v>5.7350000000000003</v>
      </c>
      <c r="G288" s="101" t="s">
        <v>524</v>
      </c>
      <c r="H288" s="87" t="s">
        <v>1110</v>
      </c>
      <c r="I288" s="90">
        <v>58499</v>
      </c>
      <c r="J288" s="87">
        <v>0.84519999999999995</v>
      </c>
      <c r="K288" s="108">
        <v>6.7</v>
      </c>
      <c r="L288" s="101">
        <v>2021</v>
      </c>
      <c r="M288" s="101" t="s">
        <v>43</v>
      </c>
      <c r="N288" s="113" t="s">
        <v>21</v>
      </c>
    </row>
    <row r="289" spans="1:14" ht="19.5" x14ac:dyDescent="0.25">
      <c r="A289" s="108"/>
      <c r="B289" s="431" t="s">
        <v>22</v>
      </c>
      <c r="C289" s="431"/>
      <c r="D289" s="108"/>
      <c r="E289" s="101"/>
      <c r="F289" s="92">
        <v>5.7350000000000003</v>
      </c>
      <c r="G289" s="101"/>
      <c r="H289" s="101"/>
      <c r="I289" s="101"/>
      <c r="J289" s="37">
        <f>J288</f>
        <v>0.84519999999999995</v>
      </c>
      <c r="K289" s="108"/>
      <c r="L289" s="101"/>
      <c r="M289" s="101"/>
      <c r="N289" s="113"/>
    </row>
    <row r="290" spans="1:14" ht="93.75" x14ac:dyDescent="0.25">
      <c r="A290" s="108">
        <v>163</v>
      </c>
      <c r="B290" s="111" t="s">
        <v>1120</v>
      </c>
      <c r="C290" s="111" t="s">
        <v>1179</v>
      </c>
      <c r="D290" s="111" t="s">
        <v>1121</v>
      </c>
      <c r="E290" s="101" t="s">
        <v>1122</v>
      </c>
      <c r="F290" s="89">
        <v>66.322500000000005</v>
      </c>
      <c r="G290" s="101" t="s">
        <v>524</v>
      </c>
      <c r="H290" s="87" t="s">
        <v>1110</v>
      </c>
      <c r="I290" s="93">
        <v>863627</v>
      </c>
      <c r="J290" s="84">
        <v>12.27214</v>
      </c>
      <c r="K290" s="108">
        <v>5.4</v>
      </c>
      <c r="L290" s="101">
        <v>2021</v>
      </c>
      <c r="M290" s="101" t="s">
        <v>1148</v>
      </c>
      <c r="N290" s="113" t="s">
        <v>21</v>
      </c>
    </row>
    <row r="291" spans="1:14" ht="19.5" x14ac:dyDescent="0.25">
      <c r="A291" s="108"/>
      <c r="B291" s="431" t="s">
        <v>22</v>
      </c>
      <c r="C291" s="431"/>
      <c r="D291" s="108"/>
      <c r="E291" s="101"/>
      <c r="F291" s="92">
        <v>66.322500000000005</v>
      </c>
      <c r="G291" s="101"/>
      <c r="H291" s="101"/>
      <c r="I291" s="101"/>
      <c r="J291" s="94">
        <f>J290</f>
        <v>12.27214</v>
      </c>
      <c r="K291" s="108"/>
      <c r="L291" s="101"/>
      <c r="M291" s="101"/>
      <c r="N291" s="113"/>
    </row>
    <row r="292" spans="1:14" ht="112.5" x14ac:dyDescent="0.25">
      <c r="A292" s="108">
        <v>164</v>
      </c>
      <c r="B292" s="111" t="s">
        <v>1126</v>
      </c>
      <c r="C292" s="111" t="s">
        <v>1127</v>
      </c>
      <c r="D292" s="111" t="s">
        <v>1128</v>
      </c>
      <c r="E292" s="101" t="s">
        <v>1129</v>
      </c>
      <c r="F292" s="102">
        <v>80.706249999999997</v>
      </c>
      <c r="G292" s="101" t="s">
        <v>524</v>
      </c>
      <c r="H292" s="87" t="s">
        <v>1110</v>
      </c>
      <c r="I292" s="90">
        <v>678700</v>
      </c>
      <c r="J292" s="102">
        <v>10.0787</v>
      </c>
      <c r="K292" s="108">
        <v>8</v>
      </c>
      <c r="L292" s="101">
        <v>2021</v>
      </c>
      <c r="M292" s="101" t="s">
        <v>471</v>
      </c>
      <c r="N292" s="113" t="s">
        <v>21</v>
      </c>
    </row>
    <row r="293" spans="1:14" ht="19.5" x14ac:dyDescent="0.25">
      <c r="A293" s="108"/>
      <c r="B293" s="431" t="s">
        <v>22</v>
      </c>
      <c r="C293" s="431"/>
      <c r="D293" s="431"/>
      <c r="E293" s="431"/>
      <c r="F293" s="37">
        <v>80.706249999999997</v>
      </c>
      <c r="G293" s="101"/>
      <c r="H293" s="101"/>
      <c r="I293" s="101"/>
      <c r="J293" s="37">
        <f>J292</f>
        <v>10.0787</v>
      </c>
      <c r="K293" s="108"/>
      <c r="L293" s="101"/>
      <c r="M293" s="101"/>
      <c r="N293" s="113"/>
    </row>
    <row r="294" spans="1:14" ht="93.75" x14ac:dyDescent="0.25">
      <c r="A294" s="108">
        <v>165</v>
      </c>
      <c r="B294" s="111" t="s">
        <v>1130</v>
      </c>
      <c r="C294" s="111" t="s">
        <v>1131</v>
      </c>
      <c r="D294" s="111" t="s">
        <v>1132</v>
      </c>
      <c r="E294" s="101" t="s">
        <v>1122</v>
      </c>
      <c r="F294" s="102">
        <v>67.247500000000002</v>
      </c>
      <c r="G294" s="101" t="s">
        <v>524</v>
      </c>
      <c r="H294" s="87" t="s">
        <v>1110</v>
      </c>
      <c r="I294" s="90">
        <v>685942</v>
      </c>
      <c r="J294" s="102">
        <v>12.628209999999999</v>
      </c>
      <c r="K294" s="108">
        <v>5.3</v>
      </c>
      <c r="L294" s="101">
        <v>2021</v>
      </c>
      <c r="M294" s="101" t="s">
        <v>492</v>
      </c>
      <c r="N294" s="113" t="s">
        <v>21</v>
      </c>
    </row>
    <row r="295" spans="1:14" ht="19.5" x14ac:dyDescent="0.25">
      <c r="A295" s="108"/>
      <c r="B295" s="431" t="s">
        <v>22</v>
      </c>
      <c r="C295" s="431"/>
      <c r="D295" s="431"/>
      <c r="E295" s="431"/>
      <c r="F295" s="37">
        <v>67.247500000000002</v>
      </c>
      <c r="G295" s="101"/>
      <c r="H295" s="101"/>
      <c r="I295" s="101"/>
      <c r="J295" s="37">
        <f>J294</f>
        <v>12.628209999999999</v>
      </c>
      <c r="K295" s="108"/>
      <c r="L295" s="101"/>
      <c r="M295" s="101"/>
      <c r="N295" s="113"/>
    </row>
    <row r="296" spans="1:14" ht="37.5" x14ac:dyDescent="0.25">
      <c r="A296" s="108">
        <v>170</v>
      </c>
      <c r="B296" s="108" t="s">
        <v>1150</v>
      </c>
      <c r="C296" s="111" t="s">
        <v>1151</v>
      </c>
      <c r="D296" s="108" t="s">
        <v>1152</v>
      </c>
      <c r="E296" s="101" t="s">
        <v>1150</v>
      </c>
      <c r="F296" s="102">
        <v>5.88</v>
      </c>
      <c r="G296" s="101" t="s">
        <v>1112</v>
      </c>
      <c r="H296" s="87" t="s">
        <v>1110</v>
      </c>
      <c r="I296" s="101">
        <v>76300</v>
      </c>
      <c r="J296" s="102">
        <v>18.594000000000001</v>
      </c>
      <c r="K296" s="108">
        <v>3.1</v>
      </c>
      <c r="L296" s="101">
        <v>2021</v>
      </c>
      <c r="M296" s="101" t="s">
        <v>1149</v>
      </c>
      <c r="N296" s="113" t="s">
        <v>21</v>
      </c>
    </row>
    <row r="297" spans="1:14" ht="19.5" x14ac:dyDescent="0.25">
      <c r="A297" s="108"/>
      <c r="B297" s="431" t="s">
        <v>22</v>
      </c>
      <c r="C297" s="431"/>
      <c r="D297" s="431"/>
      <c r="E297" s="431"/>
      <c r="F297" s="37">
        <v>5.88</v>
      </c>
      <c r="G297" s="101"/>
      <c r="H297" s="101"/>
      <c r="I297" s="101"/>
      <c r="J297" s="37">
        <f>J296</f>
        <v>18.594000000000001</v>
      </c>
      <c r="K297" s="108"/>
      <c r="L297" s="101"/>
      <c r="M297" s="101"/>
      <c r="N297" s="113"/>
    </row>
    <row r="298" spans="1:14" ht="56.25" x14ac:dyDescent="0.25">
      <c r="A298" s="426">
        <v>171</v>
      </c>
      <c r="B298" s="426" t="s">
        <v>1158</v>
      </c>
      <c r="C298" s="426" t="s">
        <v>1154</v>
      </c>
      <c r="D298" s="91" t="s">
        <v>1155</v>
      </c>
      <c r="E298" s="427" t="s">
        <v>1158</v>
      </c>
      <c r="F298" s="102">
        <v>83.048044000000004</v>
      </c>
      <c r="G298" s="427" t="s">
        <v>1112</v>
      </c>
      <c r="H298" s="87" t="s">
        <v>1110</v>
      </c>
      <c r="I298" s="89">
        <v>2041.934</v>
      </c>
      <c r="J298" s="102">
        <v>38.85801</v>
      </c>
      <c r="K298" s="108">
        <v>2.2000000000000002</v>
      </c>
      <c r="L298" s="427">
        <v>2021</v>
      </c>
      <c r="M298" s="427" t="s">
        <v>1148</v>
      </c>
      <c r="N298" s="428" t="s">
        <v>1114</v>
      </c>
    </row>
    <row r="299" spans="1:14" ht="18.75" x14ac:dyDescent="0.25">
      <c r="A299" s="426"/>
      <c r="B299" s="426"/>
      <c r="C299" s="426"/>
      <c r="D299" s="91" t="s">
        <v>1156</v>
      </c>
      <c r="E299" s="427"/>
      <c r="F299" s="102">
        <v>14.6699</v>
      </c>
      <c r="G299" s="427"/>
      <c r="H299" s="87" t="s">
        <v>1110</v>
      </c>
      <c r="I299" s="89">
        <v>3990.8159999999998</v>
      </c>
      <c r="J299" s="102">
        <v>75.945229999999995</v>
      </c>
      <c r="K299" s="108">
        <v>0.2</v>
      </c>
      <c r="L299" s="427"/>
      <c r="M299" s="427"/>
      <c r="N299" s="428"/>
    </row>
    <row r="300" spans="1:14" ht="93.75" x14ac:dyDescent="0.25">
      <c r="A300" s="426"/>
      <c r="B300" s="426"/>
      <c r="C300" s="426"/>
      <c r="D300" s="91" t="s">
        <v>1157</v>
      </c>
      <c r="E300" s="427"/>
      <c r="F300" s="102">
        <v>586.39200000000005</v>
      </c>
      <c r="G300" s="427"/>
      <c r="H300" s="87" t="s">
        <v>1110</v>
      </c>
      <c r="I300" s="89">
        <v>1927</v>
      </c>
      <c r="J300" s="102">
        <v>36.6708</v>
      </c>
      <c r="K300" s="108">
        <v>16</v>
      </c>
      <c r="L300" s="427"/>
      <c r="M300" s="427"/>
      <c r="N300" s="428"/>
    </row>
    <row r="301" spans="1:14" ht="19.5" x14ac:dyDescent="0.25">
      <c r="A301" s="108"/>
      <c r="B301" s="431" t="s">
        <v>22</v>
      </c>
      <c r="C301" s="431"/>
      <c r="D301" s="431"/>
      <c r="E301" s="431"/>
      <c r="F301" s="37">
        <v>684.10994400000004</v>
      </c>
      <c r="G301" s="101"/>
      <c r="H301" s="101"/>
      <c r="I301" s="101"/>
      <c r="J301" s="37">
        <f>SUM(J298:J300)</f>
        <v>151.47404</v>
      </c>
      <c r="K301" s="108"/>
      <c r="L301" s="101"/>
      <c r="M301" s="101"/>
      <c r="N301" s="113"/>
    </row>
    <row r="302" spans="1:14" ht="112.5" x14ac:dyDescent="0.25">
      <c r="A302" s="108">
        <v>174</v>
      </c>
      <c r="B302" s="108" t="s">
        <v>1184</v>
      </c>
      <c r="C302" s="111" t="s">
        <v>1186</v>
      </c>
      <c r="D302" s="108" t="s">
        <v>1187</v>
      </c>
      <c r="E302" s="101" t="s">
        <v>447</v>
      </c>
      <c r="F302" s="102">
        <f>5310000/1000</f>
        <v>5310</v>
      </c>
      <c r="G302" s="101" t="s">
        <v>1189</v>
      </c>
      <c r="H302" s="87" t="s">
        <v>1110</v>
      </c>
      <c r="I302" s="90">
        <v>2498344</v>
      </c>
      <c r="J302" s="102">
        <f>36196/1000</f>
        <v>36.195999999999998</v>
      </c>
      <c r="K302" s="108">
        <v>10</v>
      </c>
      <c r="L302" s="101">
        <v>2020</v>
      </c>
      <c r="M302" s="101" t="s">
        <v>43</v>
      </c>
      <c r="N302" s="113" t="s">
        <v>1114</v>
      </c>
    </row>
    <row r="303" spans="1:14" ht="19.5" x14ac:dyDescent="0.25">
      <c r="A303" s="108"/>
      <c r="B303" s="431" t="s">
        <v>22</v>
      </c>
      <c r="C303" s="431"/>
      <c r="D303" s="431"/>
      <c r="E303" s="431"/>
      <c r="F303" s="37">
        <f>5310000/1000</f>
        <v>5310</v>
      </c>
      <c r="G303" s="101"/>
      <c r="H303" s="101"/>
      <c r="I303" s="101"/>
      <c r="J303" s="37">
        <f>J302</f>
        <v>36.195999999999998</v>
      </c>
      <c r="K303" s="108"/>
      <c r="L303" s="101"/>
      <c r="M303" s="101"/>
      <c r="N303" s="113"/>
    </row>
    <row r="304" spans="1:14" ht="75" x14ac:dyDescent="0.25">
      <c r="A304" s="108">
        <v>175</v>
      </c>
      <c r="B304" s="108" t="s">
        <v>1204</v>
      </c>
      <c r="C304" s="108" t="s">
        <v>1190</v>
      </c>
      <c r="D304" s="108" t="s">
        <v>1191</v>
      </c>
      <c r="E304" s="101" t="s">
        <v>1204</v>
      </c>
      <c r="F304" s="102">
        <v>33.75</v>
      </c>
      <c r="G304" s="101" t="s">
        <v>1112</v>
      </c>
      <c r="H304" s="87" t="s">
        <v>1110</v>
      </c>
      <c r="I304" s="90">
        <v>766500</v>
      </c>
      <c r="J304" s="102">
        <v>18.396000000000001</v>
      </c>
      <c r="K304" s="108">
        <v>1.8</v>
      </c>
      <c r="L304" s="101">
        <v>2021</v>
      </c>
      <c r="M304" s="101" t="s">
        <v>27</v>
      </c>
      <c r="N304" s="113" t="s">
        <v>21</v>
      </c>
    </row>
    <row r="305" spans="1:14" ht="19.5" x14ac:dyDescent="0.25">
      <c r="A305" s="108"/>
      <c r="B305" s="431" t="s">
        <v>22</v>
      </c>
      <c r="C305" s="431"/>
      <c r="D305" s="431"/>
      <c r="E305" s="431"/>
      <c r="F305" s="37">
        <v>33.75</v>
      </c>
      <c r="G305" s="101"/>
      <c r="H305" s="101"/>
      <c r="I305" s="101"/>
      <c r="J305" s="37">
        <f>J304</f>
        <v>18.396000000000001</v>
      </c>
      <c r="K305" s="108"/>
      <c r="L305" s="35"/>
      <c r="M305" s="101"/>
      <c r="N305" s="113"/>
    </row>
    <row r="306" spans="1:14" ht="37.5" x14ac:dyDescent="0.25">
      <c r="A306" s="108">
        <v>176</v>
      </c>
      <c r="B306" s="108" t="s">
        <v>1205</v>
      </c>
      <c r="C306" s="108" t="s">
        <v>1192</v>
      </c>
      <c r="D306" s="108" t="s">
        <v>1192</v>
      </c>
      <c r="E306" s="101" t="s">
        <v>1205</v>
      </c>
      <c r="F306" s="102">
        <v>62.25</v>
      </c>
      <c r="G306" s="101" t="s">
        <v>1112</v>
      </c>
      <c r="H306" s="87" t="s">
        <v>1110</v>
      </c>
      <c r="I306" s="90">
        <v>893520</v>
      </c>
      <c r="J306" s="102">
        <f>21444.48/1000</f>
        <v>21.444479999999999</v>
      </c>
      <c r="K306" s="108">
        <v>2.9</v>
      </c>
      <c r="L306" s="101">
        <v>2021</v>
      </c>
      <c r="M306" s="101" t="s">
        <v>1113</v>
      </c>
      <c r="N306" s="113" t="s">
        <v>21</v>
      </c>
    </row>
    <row r="307" spans="1:14" ht="19.5" x14ac:dyDescent="0.25">
      <c r="A307" s="108"/>
      <c r="B307" s="431" t="s">
        <v>22</v>
      </c>
      <c r="C307" s="431"/>
      <c r="D307" s="431"/>
      <c r="E307" s="431"/>
      <c r="F307" s="37">
        <v>62.25</v>
      </c>
      <c r="G307" s="101"/>
      <c r="H307" s="101"/>
      <c r="I307" s="101"/>
      <c r="J307" s="37">
        <f>J306</f>
        <v>21.444479999999999</v>
      </c>
      <c r="K307" s="108"/>
      <c r="L307" s="35"/>
      <c r="M307" s="101"/>
      <c r="N307" s="113"/>
    </row>
    <row r="308" spans="1:14" ht="56.25" x14ac:dyDescent="0.25">
      <c r="A308" s="108">
        <v>177</v>
      </c>
      <c r="B308" s="108" t="s">
        <v>1205</v>
      </c>
      <c r="C308" s="108" t="s">
        <v>1192</v>
      </c>
      <c r="D308" s="108" t="s">
        <v>1193</v>
      </c>
      <c r="E308" s="101" t="s">
        <v>1205</v>
      </c>
      <c r="F308" s="102">
        <v>72.625</v>
      </c>
      <c r="G308" s="101" t="s">
        <v>1112</v>
      </c>
      <c r="H308" s="87" t="s">
        <v>1110</v>
      </c>
      <c r="I308" s="90">
        <v>1042440</v>
      </c>
      <c r="J308" s="102">
        <v>25.018999999999998</v>
      </c>
      <c r="K308" s="108">
        <v>2.9</v>
      </c>
      <c r="L308" s="101">
        <v>2021</v>
      </c>
      <c r="M308" s="101" t="s">
        <v>1113</v>
      </c>
      <c r="N308" s="113" t="s">
        <v>21</v>
      </c>
    </row>
    <row r="309" spans="1:14" ht="19.5" x14ac:dyDescent="0.25">
      <c r="A309" s="108"/>
      <c r="B309" s="431" t="s">
        <v>22</v>
      </c>
      <c r="C309" s="431"/>
      <c r="D309" s="431"/>
      <c r="E309" s="431"/>
      <c r="F309" s="37">
        <v>72.625</v>
      </c>
      <c r="G309" s="101"/>
      <c r="H309" s="101"/>
      <c r="I309" s="101"/>
      <c r="J309" s="37">
        <f>J308</f>
        <v>25.018999999999998</v>
      </c>
      <c r="K309" s="108"/>
      <c r="L309" s="35"/>
      <c r="M309" s="101"/>
      <c r="N309" s="113"/>
    </row>
    <row r="310" spans="1:14" ht="37.5" x14ac:dyDescent="0.25">
      <c r="A310" s="108">
        <v>178</v>
      </c>
      <c r="B310" s="108" t="s">
        <v>1206</v>
      </c>
      <c r="C310" s="108" t="s">
        <v>1194</v>
      </c>
      <c r="D310" s="108" t="s">
        <v>1194</v>
      </c>
      <c r="E310" s="101" t="s">
        <v>1206</v>
      </c>
      <c r="F310" s="102">
        <f>1360/1000</f>
        <v>1.36</v>
      </c>
      <c r="G310" s="101" t="s">
        <v>1112</v>
      </c>
      <c r="H310" s="87" t="s">
        <v>1110</v>
      </c>
      <c r="I310" s="90">
        <v>23827</v>
      </c>
      <c r="J310" s="102">
        <v>0.57199999999999995</v>
      </c>
      <c r="K310" s="108">
        <v>2.2999999999999998</v>
      </c>
      <c r="L310" s="101">
        <v>2021</v>
      </c>
      <c r="M310" s="101" t="s">
        <v>27</v>
      </c>
      <c r="N310" s="113" t="s">
        <v>21</v>
      </c>
    </row>
    <row r="311" spans="1:14" ht="19.5" x14ac:dyDescent="0.25">
      <c r="A311" s="35"/>
      <c r="B311" s="431" t="s">
        <v>22</v>
      </c>
      <c r="C311" s="431"/>
      <c r="D311" s="431"/>
      <c r="E311" s="431"/>
      <c r="F311" s="37">
        <f>1360/1000</f>
        <v>1.36</v>
      </c>
      <c r="G311" s="35"/>
      <c r="H311" s="35"/>
      <c r="I311" s="35"/>
      <c r="J311" s="37">
        <f>J310</f>
        <v>0.57199999999999995</v>
      </c>
      <c r="K311" s="36"/>
      <c r="L311" s="35"/>
      <c r="M311" s="35"/>
      <c r="N311" s="99"/>
    </row>
    <row r="312" spans="1:14" ht="56.25" x14ac:dyDescent="0.25">
      <c r="A312" s="108">
        <v>179</v>
      </c>
      <c r="B312" s="108" t="s">
        <v>1201</v>
      </c>
      <c r="C312" s="108" t="s">
        <v>1198</v>
      </c>
      <c r="D312" s="108" t="s">
        <v>1199</v>
      </c>
      <c r="E312" s="101" t="s">
        <v>1201</v>
      </c>
      <c r="F312" s="102">
        <v>28.148</v>
      </c>
      <c r="G312" s="101" t="s">
        <v>1112</v>
      </c>
      <c r="H312" s="87" t="s">
        <v>1110</v>
      </c>
      <c r="I312" s="90">
        <v>804168</v>
      </c>
      <c r="J312" s="102">
        <v>19.3</v>
      </c>
      <c r="K312" s="108">
        <v>1.5</v>
      </c>
      <c r="L312" s="101">
        <v>2021</v>
      </c>
      <c r="M312" s="101" t="s">
        <v>1200</v>
      </c>
      <c r="N312" s="113" t="s">
        <v>21</v>
      </c>
    </row>
    <row r="313" spans="1:14" ht="19.5" x14ac:dyDescent="0.25">
      <c r="A313" s="35"/>
      <c r="B313" s="431" t="s">
        <v>22</v>
      </c>
      <c r="C313" s="431"/>
      <c r="D313" s="431"/>
      <c r="E313" s="431"/>
      <c r="F313" s="37">
        <f>28147.56/1000</f>
        <v>28.147560000000002</v>
      </c>
      <c r="G313" s="35"/>
      <c r="H313" s="35"/>
      <c r="I313" s="35"/>
      <c r="J313" s="37">
        <f>J312</f>
        <v>19.3</v>
      </c>
      <c r="K313" s="36"/>
      <c r="L313" s="35"/>
      <c r="M313" s="35"/>
      <c r="N313" s="99"/>
    </row>
    <row r="314" spans="1:14" ht="37.5" x14ac:dyDescent="0.25">
      <c r="A314" s="108">
        <v>180</v>
      </c>
      <c r="B314" s="108" t="s">
        <v>1202</v>
      </c>
      <c r="C314" s="108" t="s">
        <v>1195</v>
      </c>
      <c r="D314" s="108" t="s">
        <v>1196</v>
      </c>
      <c r="E314" s="101" t="s">
        <v>1202</v>
      </c>
      <c r="F314" s="102">
        <v>3.28</v>
      </c>
      <c r="G314" s="101" t="s">
        <v>1112</v>
      </c>
      <c r="H314" s="87" t="s">
        <v>1110</v>
      </c>
      <c r="I314" s="90">
        <v>17520</v>
      </c>
      <c r="J314" s="102">
        <v>0.42</v>
      </c>
      <c r="K314" s="108">
        <v>7.8</v>
      </c>
      <c r="L314" s="101">
        <v>2021</v>
      </c>
      <c r="M314" s="101" t="s">
        <v>27</v>
      </c>
      <c r="N314" s="113" t="s">
        <v>21</v>
      </c>
    </row>
    <row r="315" spans="1:14" ht="19.5" x14ac:dyDescent="0.25">
      <c r="A315" s="108"/>
      <c r="B315" s="431" t="s">
        <v>22</v>
      </c>
      <c r="C315" s="431"/>
      <c r="D315" s="431"/>
      <c r="E315" s="431"/>
      <c r="F315" s="37">
        <f>3280/1000</f>
        <v>3.28</v>
      </c>
      <c r="G315" s="101"/>
      <c r="H315" s="101"/>
      <c r="I315" s="101"/>
      <c r="J315" s="37">
        <f>J314</f>
        <v>0.42</v>
      </c>
      <c r="K315" s="108"/>
      <c r="L315" s="35"/>
      <c r="M315" s="101"/>
      <c r="N315" s="113"/>
    </row>
    <row r="316" spans="1:14" ht="56.25" x14ac:dyDescent="0.25">
      <c r="A316" s="108">
        <v>181</v>
      </c>
      <c r="B316" s="108" t="s">
        <v>1203</v>
      </c>
      <c r="C316" s="108" t="s">
        <v>1190</v>
      </c>
      <c r="D316" s="108" t="s">
        <v>1197</v>
      </c>
      <c r="E316" s="101" t="s">
        <v>1203</v>
      </c>
      <c r="F316" s="102">
        <v>10</v>
      </c>
      <c r="G316" s="101" t="s">
        <v>1112</v>
      </c>
      <c r="H316" s="87" t="s">
        <v>1110</v>
      </c>
      <c r="I316" s="90">
        <v>119136</v>
      </c>
      <c r="J316" s="102">
        <v>2.859</v>
      </c>
      <c r="K316" s="108">
        <v>3.5</v>
      </c>
      <c r="L316" s="101">
        <v>2021</v>
      </c>
      <c r="M316" s="101" t="s">
        <v>27</v>
      </c>
      <c r="N316" s="113" t="s">
        <v>21</v>
      </c>
    </row>
    <row r="317" spans="1:14" ht="19.5" x14ac:dyDescent="0.25">
      <c r="A317" s="108"/>
      <c r="B317" s="431" t="s">
        <v>22</v>
      </c>
      <c r="C317" s="431"/>
      <c r="D317" s="431"/>
      <c r="E317" s="431"/>
      <c r="F317" s="37">
        <v>10</v>
      </c>
      <c r="G317" s="101"/>
      <c r="H317" s="101"/>
      <c r="I317" s="101"/>
      <c r="J317" s="37">
        <f>J316</f>
        <v>2.859</v>
      </c>
      <c r="K317" s="108"/>
      <c r="L317" s="35"/>
      <c r="M317" s="101"/>
      <c r="N317" s="101"/>
    </row>
    <row r="318" spans="1:14" ht="18.75" x14ac:dyDescent="0.25">
      <c r="A318" s="109"/>
      <c r="B318" s="109" t="s">
        <v>1082</v>
      </c>
      <c r="C318" s="608"/>
      <c r="D318" s="608"/>
      <c r="E318" s="51"/>
      <c r="F318" s="34" t="e">
        <f>F267+F269+F271+F273+F275+F277+F279+F281+F283+F285+#REF!+F287+F289+F291+F293+F295+#REF!+#REF!+#REF!+#REF!+F297+F301+#REF!+#REF!+F303+F305+F307+F309+F311+F313+F315+F317</f>
        <v>#REF!</v>
      </c>
      <c r="G318" s="51"/>
      <c r="H318" s="34"/>
      <c r="I318" s="34"/>
      <c r="J318" s="34" t="e">
        <f>J267+J269+J271+J273+J275+J277+J279+J281+J283+J285+#REF!+J287+J289+J291+J293+J295+#REF!+#REF!+#REF!+#REF!+J297+J301+#REF!+#REF!+J303+J305+J307+J309+J311+J313+J315+J317</f>
        <v>#REF!</v>
      </c>
      <c r="K318" s="109"/>
      <c r="L318" s="51"/>
      <c r="M318" s="51"/>
      <c r="N318" s="51"/>
    </row>
    <row r="319" spans="1:14" ht="15.75" x14ac:dyDescent="0.25">
      <c r="A319" s="8"/>
      <c r="B319" s="8"/>
      <c r="C319" s="8"/>
      <c r="D319" s="8"/>
      <c r="E319" s="7"/>
      <c r="F319" s="12"/>
      <c r="G319" s="7"/>
      <c r="H319" s="7"/>
      <c r="I319" s="7"/>
      <c r="J319" s="12"/>
      <c r="K319" s="7"/>
      <c r="L319" s="7"/>
      <c r="M319" s="7"/>
      <c r="N319" s="7"/>
    </row>
    <row r="320" spans="1:14" ht="15.75" x14ac:dyDescent="0.25">
      <c r="A320" s="8"/>
      <c r="B320" s="8"/>
      <c r="C320" s="8"/>
      <c r="D320" s="8"/>
      <c r="E320" s="7"/>
      <c r="F320" s="12"/>
      <c r="G320" s="7"/>
      <c r="H320" s="7"/>
      <c r="I320" s="7"/>
      <c r="J320" s="12"/>
      <c r="K320" s="7"/>
      <c r="L320" s="7"/>
      <c r="M320" s="7"/>
      <c r="N320" s="7"/>
    </row>
    <row r="321" spans="1:14" ht="15.75" x14ac:dyDescent="0.25">
      <c r="A321" s="8"/>
      <c r="B321" s="8"/>
      <c r="C321" s="8"/>
      <c r="D321" s="8"/>
      <c r="E321" s="7"/>
      <c r="F321" s="12"/>
      <c r="G321" s="7"/>
      <c r="H321" s="7"/>
      <c r="I321" s="7"/>
      <c r="J321" s="12"/>
      <c r="K321" s="7"/>
      <c r="L321" s="7"/>
      <c r="M321" s="7"/>
      <c r="N321" s="7"/>
    </row>
    <row r="322" spans="1:14" ht="15.75" x14ac:dyDescent="0.25">
      <c r="A322" s="8"/>
      <c r="B322" s="8"/>
      <c r="C322" s="8"/>
      <c r="D322" s="8"/>
      <c r="E322" s="7"/>
      <c r="F322" s="12"/>
      <c r="G322" s="7"/>
      <c r="H322" s="7"/>
      <c r="I322" s="7"/>
      <c r="J322" s="12"/>
      <c r="K322" s="7"/>
      <c r="L322" s="7"/>
      <c r="M322" s="7"/>
      <c r="N322" s="7"/>
    </row>
    <row r="323" spans="1:14" ht="15.75" x14ac:dyDescent="0.25">
      <c r="A323" s="8"/>
      <c r="B323" s="8"/>
      <c r="C323" s="8"/>
      <c r="D323" s="8"/>
      <c r="E323" s="7"/>
      <c r="F323" s="12"/>
      <c r="G323" s="7"/>
      <c r="H323" s="7"/>
      <c r="I323" s="7"/>
      <c r="J323" s="12"/>
      <c r="K323" s="7"/>
      <c r="L323" s="7"/>
      <c r="M323" s="7"/>
      <c r="N323" s="7"/>
    </row>
    <row r="324" spans="1:14" ht="15.75" x14ac:dyDescent="0.25">
      <c r="A324" s="8"/>
      <c r="B324" s="8"/>
      <c r="C324" s="8"/>
      <c r="D324" s="8"/>
      <c r="E324" s="7"/>
      <c r="F324" s="12"/>
      <c r="G324" s="7"/>
      <c r="H324" s="7"/>
      <c r="I324" s="7"/>
      <c r="J324" s="12"/>
      <c r="K324" s="7"/>
      <c r="L324" s="7"/>
      <c r="M324" s="7"/>
      <c r="N324" s="7"/>
    </row>
    <row r="325" spans="1:14" ht="15.75" x14ac:dyDescent="0.25">
      <c r="A325" s="8"/>
      <c r="B325" s="8"/>
      <c r="C325" s="8"/>
      <c r="D325" s="8"/>
      <c r="E325" s="7"/>
      <c r="F325" s="12"/>
      <c r="G325" s="7"/>
      <c r="H325" s="7"/>
      <c r="I325" s="7"/>
      <c r="J325" s="12"/>
      <c r="K325" s="7"/>
      <c r="L325" s="7"/>
      <c r="M325" s="7"/>
      <c r="N325" s="7"/>
    </row>
    <row r="326" spans="1:14" ht="15.75" x14ac:dyDescent="0.25">
      <c r="A326" s="8"/>
      <c r="B326" s="8"/>
      <c r="C326" s="8"/>
      <c r="D326" s="8"/>
      <c r="E326" s="7"/>
      <c r="F326" s="12"/>
      <c r="G326" s="7"/>
      <c r="H326" s="7"/>
      <c r="I326" s="7"/>
      <c r="J326" s="12"/>
      <c r="K326" s="7"/>
      <c r="L326" s="7"/>
      <c r="M326" s="7"/>
      <c r="N326" s="7"/>
    </row>
    <row r="327" spans="1:14" ht="15.75" x14ac:dyDescent="0.25">
      <c r="A327" s="8"/>
      <c r="B327" s="8"/>
      <c r="C327" s="8"/>
      <c r="D327" s="8"/>
      <c r="E327" s="7"/>
      <c r="F327" s="12"/>
      <c r="G327" s="7"/>
      <c r="H327" s="7"/>
      <c r="I327" s="7"/>
      <c r="J327" s="12"/>
      <c r="K327" s="7"/>
      <c r="L327" s="7"/>
      <c r="M327" s="7"/>
      <c r="N327" s="7"/>
    </row>
    <row r="328" spans="1:14" ht="15.75" x14ac:dyDescent="0.25">
      <c r="A328" s="8"/>
      <c r="B328" s="8"/>
      <c r="C328" s="8"/>
      <c r="D328" s="8"/>
      <c r="E328" s="7"/>
      <c r="F328" s="12"/>
      <c r="G328" s="7"/>
      <c r="H328" s="7"/>
      <c r="I328" s="7"/>
      <c r="J328" s="12"/>
      <c r="K328" s="7"/>
      <c r="L328" s="7"/>
      <c r="M328" s="7"/>
      <c r="N328" s="7"/>
    </row>
    <row r="329" spans="1:14" ht="15.75" x14ac:dyDescent="0.25">
      <c r="A329" s="8"/>
      <c r="B329" s="8"/>
      <c r="C329" s="8"/>
      <c r="D329" s="8"/>
      <c r="E329" s="7"/>
      <c r="F329" s="12"/>
      <c r="G329" s="7"/>
      <c r="H329" s="7"/>
      <c r="I329" s="7"/>
      <c r="J329" s="12"/>
      <c r="K329" s="7"/>
      <c r="L329" s="7"/>
      <c r="M329" s="7"/>
      <c r="N329" s="7"/>
    </row>
    <row r="330" spans="1:14" ht="15.75" x14ac:dyDescent="0.25">
      <c r="A330" s="8"/>
      <c r="B330" s="8"/>
      <c r="C330" s="8"/>
      <c r="D330" s="8"/>
      <c r="E330" s="7"/>
      <c r="F330" s="12"/>
      <c r="G330" s="7"/>
      <c r="H330" s="7"/>
      <c r="I330" s="7"/>
      <c r="J330" s="12"/>
      <c r="K330" s="7"/>
      <c r="L330" s="7"/>
      <c r="M330" s="7"/>
      <c r="N330" s="7"/>
    </row>
    <row r="331" spans="1:14" ht="15.75" x14ac:dyDescent="0.25">
      <c r="A331" s="8"/>
      <c r="B331" s="8"/>
      <c r="C331" s="8"/>
      <c r="D331" s="8"/>
      <c r="E331" s="7"/>
      <c r="F331" s="12"/>
      <c r="G331" s="7"/>
      <c r="H331" s="7"/>
      <c r="I331" s="7"/>
      <c r="J331" s="12"/>
      <c r="K331" s="7"/>
      <c r="L331" s="7"/>
      <c r="M331" s="7"/>
      <c r="N331" s="7"/>
    </row>
    <row r="332" spans="1:14" ht="18.75" x14ac:dyDescent="0.25">
      <c r="A332" s="109"/>
      <c r="B332" s="109" t="s">
        <v>1293</v>
      </c>
      <c r="C332" s="572"/>
      <c r="D332" s="652"/>
      <c r="E332" s="51"/>
      <c r="F332" s="34" t="e">
        <f>#REF!+#REF!+#REF!</f>
        <v>#REF!</v>
      </c>
      <c r="G332" s="51"/>
      <c r="H332" s="34"/>
      <c r="I332" s="34"/>
      <c r="J332" s="34" t="e">
        <f>#REF!+#REF!+#REF!</f>
        <v>#REF!</v>
      </c>
      <c r="K332" s="109"/>
      <c r="L332" s="51"/>
      <c r="M332" s="51"/>
      <c r="N332" s="51"/>
    </row>
    <row r="333" spans="1:14" ht="15.75" x14ac:dyDescent="0.25">
      <c r="A333" s="8"/>
      <c r="B333" s="8"/>
      <c r="C333" s="8"/>
      <c r="D333" s="8"/>
      <c r="E333" s="7"/>
      <c r="F333" s="12"/>
      <c r="G333" s="7"/>
      <c r="H333" s="7"/>
      <c r="I333" s="7"/>
      <c r="J333" s="12"/>
      <c r="K333" s="7"/>
      <c r="L333" s="7"/>
      <c r="M333" s="7"/>
      <c r="N333" s="7"/>
    </row>
    <row r="334" spans="1:14" ht="18.75" x14ac:dyDescent="0.25">
      <c r="A334" s="109"/>
      <c r="B334" s="608" t="s">
        <v>1188</v>
      </c>
      <c r="C334" s="608"/>
      <c r="D334" s="608"/>
      <c r="E334" s="51"/>
      <c r="F334" s="34" t="e">
        <f>F29+F82+F177+F221+F265+F318</f>
        <v>#REF!</v>
      </c>
      <c r="G334" s="51"/>
      <c r="H334" s="34"/>
      <c r="I334" s="34"/>
      <c r="J334" s="34" t="e">
        <f>J29+J82+J177+J221+J265+J318</f>
        <v>#REF!</v>
      </c>
      <c r="K334" s="109"/>
      <c r="L334" s="51"/>
      <c r="M334" s="53"/>
      <c r="N334" s="53"/>
    </row>
  </sheetData>
  <mergeCells count="378">
    <mergeCell ref="C332:D332"/>
    <mergeCell ref="B334:D334"/>
    <mergeCell ref="B309:E309"/>
    <mergeCell ref="B311:E311"/>
    <mergeCell ref="B313:E313"/>
    <mergeCell ref="B315:E315"/>
    <mergeCell ref="B317:E317"/>
    <mergeCell ref="C318:D318"/>
    <mergeCell ref="M298:M300"/>
    <mergeCell ref="N298:N300"/>
    <mergeCell ref="B301:E301"/>
    <mergeCell ref="B303:E303"/>
    <mergeCell ref="B305:E305"/>
    <mergeCell ref="B307:E307"/>
    <mergeCell ref="A298:A300"/>
    <mergeCell ref="B298:B300"/>
    <mergeCell ref="C298:C300"/>
    <mergeCell ref="E298:E300"/>
    <mergeCell ref="G298:G300"/>
    <mergeCell ref="L298:L300"/>
    <mergeCell ref="B287:C287"/>
    <mergeCell ref="B289:C289"/>
    <mergeCell ref="B291:C291"/>
    <mergeCell ref="B293:E293"/>
    <mergeCell ref="B295:E295"/>
    <mergeCell ref="B297:E297"/>
    <mergeCell ref="B275:C275"/>
    <mergeCell ref="B277:C277"/>
    <mergeCell ref="B279:C279"/>
    <mergeCell ref="B281:C281"/>
    <mergeCell ref="B283:C283"/>
    <mergeCell ref="B285:C285"/>
    <mergeCell ref="B264:C264"/>
    <mergeCell ref="C265:D265"/>
    <mergeCell ref="B267:C267"/>
    <mergeCell ref="B269:C269"/>
    <mergeCell ref="B271:C271"/>
    <mergeCell ref="B273:C273"/>
    <mergeCell ref="L256:L257"/>
    <mergeCell ref="M256:M257"/>
    <mergeCell ref="N256:N257"/>
    <mergeCell ref="B258:C258"/>
    <mergeCell ref="B260:C260"/>
    <mergeCell ref="B262:C262"/>
    <mergeCell ref="B255:C255"/>
    <mergeCell ref="A256:A257"/>
    <mergeCell ref="B256:B257"/>
    <mergeCell ref="C256:C257"/>
    <mergeCell ref="E256:E257"/>
    <mergeCell ref="G256:G257"/>
    <mergeCell ref="B243:C243"/>
    <mergeCell ref="B245:C245"/>
    <mergeCell ref="B247:C247"/>
    <mergeCell ref="B249:C249"/>
    <mergeCell ref="B251:C251"/>
    <mergeCell ref="B253:C253"/>
    <mergeCell ref="L235:L236"/>
    <mergeCell ref="M235:M236"/>
    <mergeCell ref="N235:N236"/>
    <mergeCell ref="B237:C237"/>
    <mergeCell ref="B239:C239"/>
    <mergeCell ref="B241:C241"/>
    <mergeCell ref="B234:C234"/>
    <mergeCell ref="A235:A236"/>
    <mergeCell ref="B235:B236"/>
    <mergeCell ref="C235:C236"/>
    <mergeCell ref="E235:E236"/>
    <mergeCell ref="G235:G236"/>
    <mergeCell ref="A232:A233"/>
    <mergeCell ref="B232:B233"/>
    <mergeCell ref="C232:C233"/>
    <mergeCell ref="M214:M219"/>
    <mergeCell ref="N214:N219"/>
    <mergeCell ref="B220:C220"/>
    <mergeCell ref="C221:D221"/>
    <mergeCell ref="B223:C223"/>
    <mergeCell ref="B225:C225"/>
    <mergeCell ref="A214:A219"/>
    <mergeCell ref="B214:B219"/>
    <mergeCell ref="C214:C219"/>
    <mergeCell ref="E214:E219"/>
    <mergeCell ref="G214:G219"/>
    <mergeCell ref="L214:L219"/>
    <mergeCell ref="E232:E233"/>
    <mergeCell ref="G232:G233"/>
    <mergeCell ref="K232:K233"/>
    <mergeCell ref="L232:L233"/>
    <mergeCell ref="M232:M233"/>
    <mergeCell ref="N232:N233"/>
    <mergeCell ref="B227:C227"/>
    <mergeCell ref="B229:C229"/>
    <mergeCell ref="B231:C231"/>
    <mergeCell ref="B203:C203"/>
    <mergeCell ref="B205:C205"/>
    <mergeCell ref="B207:C207"/>
    <mergeCell ref="B209:C209"/>
    <mergeCell ref="B211:C211"/>
    <mergeCell ref="B213:C213"/>
    <mergeCell ref="B191:C191"/>
    <mergeCell ref="B193:C193"/>
    <mergeCell ref="B195:C195"/>
    <mergeCell ref="B197:C197"/>
    <mergeCell ref="B199:C199"/>
    <mergeCell ref="B201:C201"/>
    <mergeCell ref="B179:C179"/>
    <mergeCell ref="B181:C181"/>
    <mergeCell ref="B183:C183"/>
    <mergeCell ref="B185:C185"/>
    <mergeCell ref="B187:C187"/>
    <mergeCell ref="B189:C189"/>
    <mergeCell ref="G173:G175"/>
    <mergeCell ref="L173:L175"/>
    <mergeCell ref="M173:M175"/>
    <mergeCell ref="N173:N175"/>
    <mergeCell ref="B176:C176"/>
    <mergeCell ref="C177:D177"/>
    <mergeCell ref="B170:C170"/>
    <mergeCell ref="B172:C172"/>
    <mergeCell ref="A173:A175"/>
    <mergeCell ref="B173:B175"/>
    <mergeCell ref="C173:C175"/>
    <mergeCell ref="E173:E175"/>
    <mergeCell ref="N160:N161"/>
    <mergeCell ref="B162:C162"/>
    <mergeCell ref="B164:C164"/>
    <mergeCell ref="B166:C166"/>
    <mergeCell ref="B168:C168"/>
    <mergeCell ref="A160:A161"/>
    <mergeCell ref="B160:B161"/>
    <mergeCell ref="C160:C161"/>
    <mergeCell ref="E160:E161"/>
    <mergeCell ref="G160:G161"/>
    <mergeCell ref="L160:L161"/>
    <mergeCell ref="B157:C157"/>
    <mergeCell ref="B159:C159"/>
    <mergeCell ref="B152:C152"/>
    <mergeCell ref="B154:C154"/>
    <mergeCell ref="A155:A156"/>
    <mergeCell ref="B155:B156"/>
    <mergeCell ref="C155:C156"/>
    <mergeCell ref="E155:E156"/>
    <mergeCell ref="M160:M161"/>
    <mergeCell ref="B146:C146"/>
    <mergeCell ref="B148:C148"/>
    <mergeCell ref="B150:C150"/>
    <mergeCell ref="L136:L138"/>
    <mergeCell ref="M136:M138"/>
    <mergeCell ref="N136:N138"/>
    <mergeCell ref="B139:C139"/>
    <mergeCell ref="B141:C141"/>
    <mergeCell ref="G155:G156"/>
    <mergeCell ref="L155:L156"/>
    <mergeCell ref="M155:M156"/>
    <mergeCell ref="N155:N156"/>
    <mergeCell ref="A142:A145"/>
    <mergeCell ref="B142:B145"/>
    <mergeCell ref="C142:C145"/>
    <mergeCell ref="E142:E145"/>
    <mergeCell ref="G142:G145"/>
    <mergeCell ref="G133:G134"/>
    <mergeCell ref="L133:L134"/>
    <mergeCell ref="M133:M134"/>
    <mergeCell ref="N133:N134"/>
    <mergeCell ref="B135:C135"/>
    <mergeCell ref="A136:A138"/>
    <mergeCell ref="B136:B138"/>
    <mergeCell ref="C136:C138"/>
    <mergeCell ref="E136:E138"/>
    <mergeCell ref="G136:G138"/>
    <mergeCell ref="L142:L145"/>
    <mergeCell ref="M142:M145"/>
    <mergeCell ref="N142:N145"/>
    <mergeCell ref="B130:C130"/>
    <mergeCell ref="B132:C132"/>
    <mergeCell ref="A133:A134"/>
    <mergeCell ref="B133:B134"/>
    <mergeCell ref="C133:C134"/>
    <mergeCell ref="E133:E134"/>
    <mergeCell ref="E127:E129"/>
    <mergeCell ref="G127:G129"/>
    <mergeCell ref="L127:L129"/>
    <mergeCell ref="A127:A129"/>
    <mergeCell ref="M127:M129"/>
    <mergeCell ref="N127:N129"/>
    <mergeCell ref="D128:D129"/>
    <mergeCell ref="F128:F129"/>
    <mergeCell ref="K128:K129"/>
    <mergeCell ref="B120:C120"/>
    <mergeCell ref="B122:C122"/>
    <mergeCell ref="B124:C124"/>
    <mergeCell ref="B126:C126"/>
    <mergeCell ref="B127:B129"/>
    <mergeCell ref="C127:C129"/>
    <mergeCell ref="B116:C116"/>
    <mergeCell ref="A117:A119"/>
    <mergeCell ref="B117:B119"/>
    <mergeCell ref="C117:C119"/>
    <mergeCell ref="E117:E119"/>
    <mergeCell ref="G117:G119"/>
    <mergeCell ref="L117:L119"/>
    <mergeCell ref="M117:M119"/>
    <mergeCell ref="N117:N119"/>
    <mergeCell ref="B106:C106"/>
    <mergeCell ref="A107:A115"/>
    <mergeCell ref="B107:B115"/>
    <mergeCell ref="C107:C115"/>
    <mergeCell ref="E107:E115"/>
    <mergeCell ref="G107:G115"/>
    <mergeCell ref="L107:L115"/>
    <mergeCell ref="M107:M115"/>
    <mergeCell ref="N107:N115"/>
    <mergeCell ref="N97:N100"/>
    <mergeCell ref="B101:C101"/>
    <mergeCell ref="A102:A105"/>
    <mergeCell ref="B102:B105"/>
    <mergeCell ref="C102:C105"/>
    <mergeCell ref="E102:E105"/>
    <mergeCell ref="G102:G105"/>
    <mergeCell ref="H102:H105"/>
    <mergeCell ref="L102:L105"/>
    <mergeCell ref="M102:M105"/>
    <mergeCell ref="N102:N105"/>
    <mergeCell ref="B94:C94"/>
    <mergeCell ref="B96:C96"/>
    <mergeCell ref="A97:A100"/>
    <mergeCell ref="B97:B100"/>
    <mergeCell ref="C97:C100"/>
    <mergeCell ref="E97:E100"/>
    <mergeCell ref="G97:G100"/>
    <mergeCell ref="L97:L100"/>
    <mergeCell ref="M97:M100"/>
    <mergeCell ref="B89:C89"/>
    <mergeCell ref="A90:A93"/>
    <mergeCell ref="B90:B93"/>
    <mergeCell ref="C90:C93"/>
    <mergeCell ref="E90:E93"/>
    <mergeCell ref="G90:G93"/>
    <mergeCell ref="L90:L93"/>
    <mergeCell ref="M90:M93"/>
    <mergeCell ref="N90:N93"/>
    <mergeCell ref="B86:C86"/>
    <mergeCell ref="A87:A88"/>
    <mergeCell ref="B87:B88"/>
    <mergeCell ref="C87:C88"/>
    <mergeCell ref="E87:E88"/>
    <mergeCell ref="G87:G88"/>
    <mergeCell ref="L87:L88"/>
    <mergeCell ref="M87:M88"/>
    <mergeCell ref="N87:N88"/>
    <mergeCell ref="B81:C81"/>
    <mergeCell ref="C82:D82"/>
    <mergeCell ref="A83:A85"/>
    <mergeCell ref="B83:B85"/>
    <mergeCell ref="C83:C85"/>
    <mergeCell ref="E83:E85"/>
    <mergeCell ref="N72:N76"/>
    <mergeCell ref="B77:C77"/>
    <mergeCell ref="A78:A80"/>
    <mergeCell ref="B78:B80"/>
    <mergeCell ref="C78:C80"/>
    <mergeCell ref="G78:G80"/>
    <mergeCell ref="L78:L80"/>
    <mergeCell ref="M78:M80"/>
    <mergeCell ref="N78:N80"/>
    <mergeCell ref="G83:G85"/>
    <mergeCell ref="L83:L85"/>
    <mergeCell ref="M83:M85"/>
    <mergeCell ref="N83:N85"/>
    <mergeCell ref="M67:M70"/>
    <mergeCell ref="N67:N70"/>
    <mergeCell ref="B71:C71"/>
    <mergeCell ref="A72:A76"/>
    <mergeCell ref="B72:B76"/>
    <mergeCell ref="C72:C76"/>
    <mergeCell ref="E72:E76"/>
    <mergeCell ref="G72:G76"/>
    <mergeCell ref="L72:L76"/>
    <mergeCell ref="M72:M76"/>
    <mergeCell ref="A67:A70"/>
    <mergeCell ref="B67:B70"/>
    <mergeCell ref="C67:C70"/>
    <mergeCell ref="E67:E70"/>
    <mergeCell ref="G67:G70"/>
    <mergeCell ref="L67:L70"/>
    <mergeCell ref="L60:L61"/>
    <mergeCell ref="M60:M61"/>
    <mergeCell ref="N60:N61"/>
    <mergeCell ref="B62:C62"/>
    <mergeCell ref="B64:C64"/>
    <mergeCell ref="B66:C66"/>
    <mergeCell ref="G57:G58"/>
    <mergeCell ref="L57:L58"/>
    <mergeCell ref="M57:M58"/>
    <mergeCell ref="N57:N58"/>
    <mergeCell ref="B59:C59"/>
    <mergeCell ref="A60:A61"/>
    <mergeCell ref="B60:B61"/>
    <mergeCell ref="C60:C61"/>
    <mergeCell ref="E60:E61"/>
    <mergeCell ref="G60:G61"/>
    <mergeCell ref="B54:C54"/>
    <mergeCell ref="B56:C56"/>
    <mergeCell ref="A57:A58"/>
    <mergeCell ref="B57:B58"/>
    <mergeCell ref="C57:C58"/>
    <mergeCell ref="E57:E58"/>
    <mergeCell ref="B51:C51"/>
    <mergeCell ref="A52:A53"/>
    <mergeCell ref="B52:B53"/>
    <mergeCell ref="C52:C53"/>
    <mergeCell ref="E52:E53"/>
    <mergeCell ref="G52:G53"/>
    <mergeCell ref="L52:L53"/>
    <mergeCell ref="M52:M53"/>
    <mergeCell ref="N52:N53"/>
    <mergeCell ref="M44:M47"/>
    <mergeCell ref="N44:N47"/>
    <mergeCell ref="B48:C48"/>
    <mergeCell ref="A49:A50"/>
    <mergeCell ref="B49:B50"/>
    <mergeCell ref="C49:C50"/>
    <mergeCell ref="E49:E50"/>
    <mergeCell ref="G49:G50"/>
    <mergeCell ref="L49:L50"/>
    <mergeCell ref="M49:M50"/>
    <mergeCell ref="A44:A47"/>
    <mergeCell ref="B44:B47"/>
    <mergeCell ref="C44:C47"/>
    <mergeCell ref="E44:E47"/>
    <mergeCell ref="G44:G47"/>
    <mergeCell ref="L44:L47"/>
    <mergeCell ref="N49:N50"/>
    <mergeCell ref="B33:C33"/>
    <mergeCell ref="B35:C35"/>
    <mergeCell ref="B37:C37"/>
    <mergeCell ref="B39:C39"/>
    <mergeCell ref="B41:C41"/>
    <mergeCell ref="B43:C43"/>
    <mergeCell ref="B20:C20"/>
    <mergeCell ref="B22:C22"/>
    <mergeCell ref="B24:C24"/>
    <mergeCell ref="B26:C26"/>
    <mergeCell ref="B28:C28"/>
    <mergeCell ref="B31:C31"/>
    <mergeCell ref="G13:G15"/>
    <mergeCell ref="M13:M15"/>
    <mergeCell ref="N13:N15"/>
    <mergeCell ref="B16:C16"/>
    <mergeCell ref="B18:C18"/>
    <mergeCell ref="B8:C8"/>
    <mergeCell ref="B10:C10"/>
    <mergeCell ref="B12:C12"/>
    <mergeCell ref="A13:A15"/>
    <mergeCell ref="B13:B15"/>
    <mergeCell ref="C13:C15"/>
    <mergeCell ref="E13:E15"/>
    <mergeCell ref="N1:N2"/>
    <mergeCell ref="B4:C4"/>
    <mergeCell ref="A5:A7"/>
    <mergeCell ref="B5:B7"/>
    <mergeCell ref="C5:C7"/>
    <mergeCell ref="E5:E7"/>
    <mergeCell ref="G5:G7"/>
    <mergeCell ref="L5:L7"/>
    <mergeCell ref="M5:M7"/>
    <mergeCell ref="N5:N7"/>
    <mergeCell ref="G1:G2"/>
    <mergeCell ref="H1:I1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проекты</vt:lpstr>
      <vt:lpstr>Заявки 2025</vt:lpstr>
      <vt:lpstr>Карта ЭЭ рус</vt:lpstr>
      <vt:lpstr>Карта ЭЭ QAZ</vt:lpstr>
      <vt:lpstr>Освещение</vt:lpstr>
      <vt:lpstr>Уличное освещ (ЭСКО-ГЧП)</vt:lpstr>
      <vt:lpstr>проверка</vt:lpstr>
      <vt:lpstr>Лист3</vt:lpstr>
      <vt:lpstr>'Карта ЭЭ QAZ'!Область_печати</vt:lpstr>
      <vt:lpstr>'Карта ЭЭ рус'!Область_печати</vt:lpstr>
      <vt:lpstr>проверка!Область_печати</vt:lpstr>
      <vt:lpstr>проекты!Область_печати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2024-09-10T09:19:58Z</cp:lastPrinted>
  <dcterms:created xsi:type="dcterms:W3CDTF">2020-04-20T03:55:09Z</dcterms:created>
  <dcterms:modified xsi:type="dcterms:W3CDTF">2025-11-26T07:02:21Z</dcterms:modified>
</cp:coreProperties>
</file>